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LTA_PGM\DATI\GESTIONE_LAVORI\REGISTRI_AEEG\2019\655 CONTRATTUALE\655 SINTESI PER SITO\"/>
    </mc:Choice>
  </mc:AlternateContent>
  <xr:revisionPtr revIDLastSave="0" documentId="8_{56FEF408-C6AA-425D-A342-63853DC18CC5}" xr6:coauthVersionLast="45" xr6:coauthVersionMax="45" xr10:uidLastSave="{00000000-0000-0000-0000-000000000000}"/>
  <bookViews>
    <workbookView xWindow="-120" yWindow="-120" windowWidth="29040" windowHeight="15840" firstSheet="4" activeTab="4" xr2:uid="{AEA0B49E-C157-4707-982B-0AB90A1B31D2}"/>
  </bookViews>
  <sheets>
    <sheet name="Totale LTA" sheetId="1" state="hidden" r:id="rId1"/>
    <sheet name="Sud" sheetId="2" state="hidden" r:id="rId2"/>
    <sheet name="Nord" sheetId="4" state="hidden" r:id="rId3"/>
    <sheet name="Confronto" sheetId="5" state="hidden" r:id="rId4"/>
    <sheet name="Totale LTA anno 2019" sheetId="6" r:id="rId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8" i="6" l="1"/>
  <c r="K49" i="6" l="1"/>
  <c r="O48" i="6"/>
  <c r="S48" i="6" s="1"/>
  <c r="H48" i="6"/>
  <c r="R48" i="6" s="1"/>
  <c r="H45" i="6"/>
  <c r="R45" i="6" s="1"/>
  <c r="G45" i="6"/>
  <c r="I45" i="6" s="1"/>
  <c r="H44" i="6"/>
  <c r="R44" i="6" s="1"/>
  <c r="O43" i="6"/>
  <c r="S43" i="6" s="1"/>
  <c r="H43" i="6"/>
  <c r="R43" i="6" s="1"/>
  <c r="S42" i="6"/>
  <c r="R42" i="6"/>
  <c r="I42" i="6"/>
  <c r="G42" i="6" s="1"/>
  <c r="L42" i="6" s="1"/>
  <c r="S41" i="6"/>
  <c r="R41" i="6"/>
  <c r="I41" i="6"/>
  <c r="G41" i="6" s="1"/>
  <c r="L41" i="6" s="1"/>
  <c r="S40" i="6"/>
  <c r="R40" i="6"/>
  <c r="I40" i="6"/>
  <c r="G40" i="6" s="1"/>
  <c r="L40" i="6" s="1"/>
  <c r="O39" i="6"/>
  <c r="S39" i="6" s="1"/>
  <c r="I39" i="6"/>
  <c r="H39" i="6"/>
  <c r="S38" i="6"/>
  <c r="I38" i="6"/>
  <c r="H38" i="6"/>
  <c r="O37" i="6"/>
  <c r="S37" i="6" s="1"/>
  <c r="H37" i="6"/>
  <c r="R37" i="6" s="1"/>
  <c r="S36" i="6"/>
  <c r="I36" i="6"/>
  <c r="H36" i="6"/>
  <c r="R36" i="6" s="1"/>
  <c r="O35" i="6"/>
  <c r="I35" i="6" s="1"/>
  <c r="H35" i="6"/>
  <c r="R35" i="6" s="1"/>
  <c r="O34" i="6"/>
  <c r="I34" i="6" s="1"/>
  <c r="H34" i="6"/>
  <c r="R34" i="6" s="1"/>
  <c r="S33" i="6"/>
  <c r="R33" i="6"/>
  <c r="I33" i="6"/>
  <c r="G33" i="6" s="1"/>
  <c r="L33" i="6" s="1"/>
  <c r="S32" i="6"/>
  <c r="R32" i="6"/>
  <c r="I32" i="6"/>
  <c r="S31" i="6"/>
  <c r="R31" i="6"/>
  <c r="I31" i="6"/>
  <c r="S30" i="6"/>
  <c r="R30" i="6"/>
  <c r="I30" i="6"/>
  <c r="G30" i="6" s="1"/>
  <c r="L30" i="6" s="1"/>
  <c r="S29" i="6"/>
  <c r="R29" i="6"/>
  <c r="I29" i="6"/>
  <c r="H29" i="6"/>
  <c r="S28" i="6"/>
  <c r="I28" i="6"/>
  <c r="H28" i="6"/>
  <c r="R28" i="6" s="1"/>
  <c r="S27" i="6"/>
  <c r="R27" i="6"/>
  <c r="I27" i="6"/>
  <c r="H27" i="6"/>
  <c r="S26" i="6"/>
  <c r="R26" i="6"/>
  <c r="I26" i="6"/>
  <c r="G26" i="6" s="1"/>
  <c r="O25" i="6"/>
  <c r="S25" i="6" s="1"/>
  <c r="H25" i="6"/>
  <c r="S24" i="6"/>
  <c r="I24" i="6"/>
  <c r="H24" i="6"/>
  <c r="O23" i="6"/>
  <c r="S23" i="6" s="1"/>
  <c r="H23" i="6"/>
  <c r="R23" i="6" s="1"/>
  <c r="O22" i="6"/>
  <c r="S22" i="6" s="1"/>
  <c r="H22" i="6"/>
  <c r="S21" i="6"/>
  <c r="R21" i="6"/>
  <c r="I21" i="6"/>
  <c r="G21" i="6" s="1"/>
  <c r="L21" i="6" s="1"/>
  <c r="S20" i="6"/>
  <c r="O20" i="6"/>
  <c r="I20" i="6" s="1"/>
  <c r="H20" i="6"/>
  <c r="R20" i="6" s="1"/>
  <c r="O19" i="6"/>
  <c r="S19" i="6" s="1"/>
  <c r="H19" i="6"/>
  <c r="R19" i="6" s="1"/>
  <c r="S18" i="6"/>
  <c r="I18" i="6"/>
  <c r="H18" i="6"/>
  <c r="R18" i="6" s="1"/>
  <c r="P17" i="6"/>
  <c r="O17" i="6"/>
  <c r="S17" i="6" s="1"/>
  <c r="I17" i="6"/>
  <c r="H17" i="6"/>
  <c r="O16" i="6"/>
  <c r="I16" i="6" s="1"/>
  <c r="H16" i="6"/>
  <c r="O15" i="6"/>
  <c r="S15" i="6" s="1"/>
  <c r="H15" i="6"/>
  <c r="S14" i="6"/>
  <c r="R14" i="6"/>
  <c r="I14" i="6"/>
  <c r="G14" i="6" s="1"/>
  <c r="L14" i="6" s="1"/>
  <c r="S13" i="6"/>
  <c r="R13" i="6"/>
  <c r="I13" i="6"/>
  <c r="G13" i="6" s="1"/>
  <c r="L13" i="6" s="1"/>
  <c r="S12" i="6"/>
  <c r="I12" i="6"/>
  <c r="H12" i="6"/>
  <c r="R12" i="6" s="1"/>
  <c r="S11" i="6"/>
  <c r="R11" i="6"/>
  <c r="I11" i="6"/>
  <c r="O10" i="6"/>
  <c r="S10" i="6" s="1"/>
  <c r="H10" i="6"/>
  <c r="R10" i="6" s="1"/>
  <c r="S9" i="6"/>
  <c r="R9" i="6"/>
  <c r="I9" i="6"/>
  <c r="G9" i="6"/>
  <c r="L9" i="6" s="1"/>
  <c r="O8" i="6"/>
  <c r="S8" i="6" s="1"/>
  <c r="H8" i="6"/>
  <c r="R8" i="6" s="1"/>
  <c r="S7" i="6"/>
  <c r="R7" i="6"/>
  <c r="I7" i="6"/>
  <c r="G7" i="6" s="1"/>
  <c r="S16" i="6" l="1"/>
  <c r="G28" i="6"/>
  <c r="P28" i="6" s="1"/>
  <c r="P46" i="6"/>
  <c r="G46" i="6" s="1"/>
  <c r="P47" i="6" s="1"/>
  <c r="I15" i="6"/>
  <c r="G24" i="6"/>
  <c r="L24" i="6" s="1"/>
  <c r="I8" i="6"/>
  <c r="G8" i="6" s="1"/>
  <c r="C8" i="6" s="1"/>
  <c r="G11" i="6"/>
  <c r="L11" i="6" s="1"/>
  <c r="C28" i="6"/>
  <c r="G39" i="6"/>
  <c r="P39" i="6" s="1"/>
  <c r="C26" i="6"/>
  <c r="G12" i="6"/>
  <c r="P12" i="6" s="1"/>
  <c r="G20" i="6"/>
  <c r="C39" i="6"/>
  <c r="C41" i="6"/>
  <c r="S35" i="6"/>
  <c r="I25" i="6"/>
  <c r="C21" i="6"/>
  <c r="G29" i="6"/>
  <c r="P29" i="6" s="1"/>
  <c r="I23" i="6"/>
  <c r="G23" i="6" s="1"/>
  <c r="C23" i="6" s="1"/>
  <c r="G38" i="6"/>
  <c r="C38" i="6" s="1"/>
  <c r="C40" i="6"/>
  <c r="C42" i="6"/>
  <c r="G35" i="6"/>
  <c r="C24" i="6"/>
  <c r="S45" i="6"/>
  <c r="C45" i="6"/>
  <c r="P38" i="6"/>
  <c r="L38" i="6"/>
  <c r="I10" i="6"/>
  <c r="I22" i="6"/>
  <c r="G22" i="6" s="1"/>
  <c r="C30" i="6"/>
  <c r="L28" i="6"/>
  <c r="G15" i="6"/>
  <c r="C15" i="6" s="1"/>
  <c r="G17" i="6"/>
  <c r="C17" i="6" s="1"/>
  <c r="R24" i="6"/>
  <c r="G32" i="6"/>
  <c r="L32" i="6" s="1"/>
  <c r="R38" i="6"/>
  <c r="C9" i="6"/>
  <c r="S51" i="6"/>
  <c r="C7" i="6"/>
  <c r="C33" i="6"/>
  <c r="G16" i="6"/>
  <c r="P16" i="6" s="1"/>
  <c r="G27" i="6"/>
  <c r="G31" i="6"/>
  <c r="L31" i="6" s="1"/>
  <c r="I43" i="6"/>
  <c r="P45" i="6"/>
  <c r="C14" i="6"/>
  <c r="R25" i="6"/>
  <c r="R39" i="6"/>
  <c r="C13" i="6"/>
  <c r="L29" i="6"/>
  <c r="G34" i="6"/>
  <c r="P34" i="6" s="1"/>
  <c r="I48" i="6"/>
  <c r="R15" i="6"/>
  <c r="R51" i="6" s="1"/>
  <c r="R16" i="6"/>
  <c r="R17" i="6"/>
  <c r="R22" i="6"/>
  <c r="G18" i="6"/>
  <c r="P18" i="6" s="1"/>
  <c r="I19" i="6"/>
  <c r="S34" i="6"/>
  <c r="G36" i="6"/>
  <c r="L36" i="6" s="1"/>
  <c r="I37" i="6"/>
  <c r="P36" i="6"/>
  <c r="H46" i="6" l="1"/>
  <c r="R46" i="6" s="1"/>
  <c r="C35" i="6"/>
  <c r="L35" i="6"/>
  <c r="L12" i="6"/>
  <c r="C11" i="6"/>
  <c r="C12" i="6"/>
  <c r="L20" i="6"/>
  <c r="P20" i="6"/>
  <c r="C32" i="6"/>
  <c r="G25" i="6"/>
  <c r="P25" i="6" s="1"/>
  <c r="C16" i="6"/>
  <c r="C20" i="6"/>
  <c r="C29" i="6"/>
  <c r="G37" i="6"/>
  <c r="C37" i="6" s="1"/>
  <c r="P22" i="6"/>
  <c r="L22" i="6"/>
  <c r="C31" i="6"/>
  <c r="G19" i="6"/>
  <c r="C19" i="6" s="1"/>
  <c r="P23" i="6"/>
  <c r="L23" i="6"/>
  <c r="C36" i="6"/>
  <c r="P15" i="6"/>
  <c r="L15" i="6"/>
  <c r="P27" i="6"/>
  <c r="L27" i="6"/>
  <c r="C27" i="6"/>
  <c r="C22" i="6"/>
  <c r="C34" i="6"/>
  <c r="G43" i="6"/>
  <c r="P44" i="6" s="1"/>
  <c r="G44" i="6" s="1"/>
  <c r="I44" i="6" s="1"/>
  <c r="G10" i="6"/>
  <c r="C10" i="6" s="1"/>
  <c r="G51" i="6"/>
  <c r="I51" i="6" s="1"/>
  <c r="P8" i="6"/>
  <c r="L8" i="6"/>
  <c r="P35" i="6"/>
  <c r="G47" i="6"/>
  <c r="G48" i="6"/>
  <c r="C18" i="6"/>
  <c r="I10" i="5"/>
  <c r="I12" i="5"/>
  <c r="I15" i="5"/>
  <c r="I16" i="5"/>
  <c r="I17" i="5"/>
  <c r="I18" i="5"/>
  <c r="I19" i="5"/>
  <c r="I20" i="5"/>
  <c r="I22" i="5"/>
  <c r="I23" i="5"/>
  <c r="I24" i="5"/>
  <c r="I25" i="5"/>
  <c r="I27" i="5"/>
  <c r="I28" i="5"/>
  <c r="I29" i="5"/>
  <c r="I30" i="5"/>
  <c r="I31" i="5"/>
  <c r="I34" i="5"/>
  <c r="I35" i="5"/>
  <c r="I36" i="5"/>
  <c r="I37" i="5"/>
  <c r="I38" i="5"/>
  <c r="I39" i="5"/>
  <c r="I43" i="5"/>
  <c r="I44" i="5"/>
  <c r="I8" i="5"/>
  <c r="D20" i="2"/>
  <c r="K20" i="2" s="1"/>
  <c r="H44" i="4"/>
  <c r="G44" i="4"/>
  <c r="F44" i="4"/>
  <c r="G43" i="4"/>
  <c r="F43" i="4"/>
  <c r="H42" i="4"/>
  <c r="L42" i="4" s="1"/>
  <c r="G42" i="4"/>
  <c r="F42" i="4"/>
  <c r="D42" i="4"/>
  <c r="K42" i="4" s="1"/>
  <c r="H41" i="4"/>
  <c r="L41" i="4" s="1"/>
  <c r="G41" i="4"/>
  <c r="F41" i="4"/>
  <c r="D41" i="4"/>
  <c r="K41" i="4" s="1"/>
  <c r="H40" i="4"/>
  <c r="L40" i="4" s="1"/>
  <c r="G40" i="4"/>
  <c r="F40" i="4"/>
  <c r="D40" i="4"/>
  <c r="G39" i="4"/>
  <c r="F39" i="4"/>
  <c r="H38" i="4"/>
  <c r="G38" i="4"/>
  <c r="F38" i="4"/>
  <c r="G37" i="4"/>
  <c r="F37" i="4"/>
  <c r="H36" i="4"/>
  <c r="L36" i="4" s="1"/>
  <c r="G36" i="4"/>
  <c r="F36" i="4"/>
  <c r="G35" i="4"/>
  <c r="F35" i="4"/>
  <c r="G34" i="4"/>
  <c r="F34" i="4"/>
  <c r="H33" i="4"/>
  <c r="L33" i="4" s="1"/>
  <c r="G33" i="4"/>
  <c r="F33" i="4"/>
  <c r="D33" i="4"/>
  <c r="H32" i="4"/>
  <c r="L32" i="4" s="1"/>
  <c r="G32" i="4"/>
  <c r="F32" i="4"/>
  <c r="D32" i="4"/>
  <c r="H31" i="4"/>
  <c r="G31" i="4"/>
  <c r="F31" i="4"/>
  <c r="D31" i="4"/>
  <c r="H30" i="4"/>
  <c r="G30" i="4"/>
  <c r="F30" i="4"/>
  <c r="D30" i="4"/>
  <c r="K30" i="4" s="1"/>
  <c r="H29" i="4"/>
  <c r="L29" i="4" s="1"/>
  <c r="G29" i="4"/>
  <c r="F29" i="4"/>
  <c r="H28" i="4"/>
  <c r="L28" i="4" s="1"/>
  <c r="G28" i="4"/>
  <c r="F28" i="4"/>
  <c r="H27" i="4"/>
  <c r="G27" i="4"/>
  <c r="F27" i="4"/>
  <c r="H26" i="4"/>
  <c r="G26" i="4"/>
  <c r="F26" i="4"/>
  <c r="D26" i="4"/>
  <c r="K26" i="4" s="1"/>
  <c r="G25" i="4"/>
  <c r="F25" i="4"/>
  <c r="H24" i="4"/>
  <c r="L24" i="4" s="1"/>
  <c r="G24" i="4"/>
  <c r="F24" i="4"/>
  <c r="G23" i="4"/>
  <c r="F23" i="4"/>
  <c r="G22" i="4"/>
  <c r="F22" i="4"/>
  <c r="H21" i="4"/>
  <c r="L21" i="4" s="1"/>
  <c r="G21" i="4"/>
  <c r="F21" i="4"/>
  <c r="D21" i="4"/>
  <c r="G20" i="4"/>
  <c r="F20" i="4"/>
  <c r="G19" i="4"/>
  <c r="F19" i="4"/>
  <c r="H18" i="4"/>
  <c r="L18" i="4" s="1"/>
  <c r="G18" i="4"/>
  <c r="F18" i="4"/>
  <c r="G17" i="4"/>
  <c r="F17" i="4"/>
  <c r="G16" i="4"/>
  <c r="F16" i="4"/>
  <c r="G15" i="4"/>
  <c r="F15" i="4"/>
  <c r="H14" i="4"/>
  <c r="L14" i="4" s="1"/>
  <c r="G14" i="4"/>
  <c r="F14" i="4"/>
  <c r="D14" i="4"/>
  <c r="K14" i="4" s="1"/>
  <c r="H13" i="4"/>
  <c r="L13" i="4" s="1"/>
  <c r="G13" i="4"/>
  <c r="F13" i="4"/>
  <c r="D13" i="4"/>
  <c r="K13" i="4" s="1"/>
  <c r="H12" i="4"/>
  <c r="L12" i="4" s="1"/>
  <c r="G12" i="4"/>
  <c r="F12" i="4"/>
  <c r="H11" i="4"/>
  <c r="G11" i="4"/>
  <c r="F11" i="4"/>
  <c r="D11" i="4"/>
  <c r="G10" i="4"/>
  <c r="F10" i="4"/>
  <c r="H9" i="4"/>
  <c r="L9" i="4" s="1"/>
  <c r="G9" i="4"/>
  <c r="F9" i="4"/>
  <c r="D9" i="4"/>
  <c r="K9" i="4" s="1"/>
  <c r="G8" i="4"/>
  <c r="F8" i="4"/>
  <c r="L30" i="4"/>
  <c r="H7" i="4"/>
  <c r="L7" i="4" s="1"/>
  <c r="G7" i="4"/>
  <c r="F7" i="4"/>
  <c r="D7" i="4"/>
  <c r="D44" i="2"/>
  <c r="H43" i="2"/>
  <c r="L43" i="2" s="1"/>
  <c r="D43" i="2"/>
  <c r="K43" i="2" s="1"/>
  <c r="H39" i="2"/>
  <c r="L39" i="2" s="1"/>
  <c r="D39" i="2"/>
  <c r="K39" i="2" s="1"/>
  <c r="D38" i="2"/>
  <c r="H37" i="2"/>
  <c r="L37" i="2" s="1"/>
  <c r="D37" i="2"/>
  <c r="D35" i="2"/>
  <c r="D35" i="4" s="1"/>
  <c r="K35" i="4" s="1"/>
  <c r="H35" i="2"/>
  <c r="G35" i="1"/>
  <c r="D36" i="2"/>
  <c r="I36" i="2" s="1"/>
  <c r="K34" i="1"/>
  <c r="H34" i="4" s="1"/>
  <c r="H34" i="2"/>
  <c r="E34" i="2" s="1"/>
  <c r="C34" i="2" s="1"/>
  <c r="I34" i="2" s="1"/>
  <c r="D34" i="2"/>
  <c r="D29" i="2"/>
  <c r="D28" i="2"/>
  <c r="K28" i="2" s="1"/>
  <c r="I25" i="2"/>
  <c r="H25" i="2"/>
  <c r="E25" i="2" s="1"/>
  <c r="C25" i="2" s="1"/>
  <c r="D25" i="2"/>
  <c r="D27" i="2"/>
  <c r="K27" i="2" s="1"/>
  <c r="H23" i="2"/>
  <c r="L23" i="2" s="1"/>
  <c r="D23" i="2"/>
  <c r="G23" i="1"/>
  <c r="D23" i="4" s="1"/>
  <c r="K23" i="4" s="1"/>
  <c r="K23" i="1"/>
  <c r="H23" i="4" s="1"/>
  <c r="L23" i="4" s="1"/>
  <c r="H22" i="2"/>
  <c r="D22" i="2"/>
  <c r="H19" i="2"/>
  <c r="D19" i="2"/>
  <c r="D24" i="2"/>
  <c r="K24" i="2" s="1"/>
  <c r="D18" i="2"/>
  <c r="H17" i="2"/>
  <c r="E17" i="2" s="1"/>
  <c r="C17" i="2" s="1"/>
  <c r="I17" i="2" s="1"/>
  <c r="D17" i="2"/>
  <c r="K17" i="2" s="1"/>
  <c r="G17" i="1"/>
  <c r="D17" i="4" s="1"/>
  <c r="K17" i="4" s="1"/>
  <c r="D16" i="2"/>
  <c r="D15" i="2"/>
  <c r="D12" i="2"/>
  <c r="K12" i="2" s="1"/>
  <c r="H10" i="2"/>
  <c r="L10" i="2" s="1"/>
  <c r="D10" i="2"/>
  <c r="G10" i="1"/>
  <c r="D10" i="4" s="1"/>
  <c r="H8" i="2"/>
  <c r="L8" i="2" s="1"/>
  <c r="D8" i="2"/>
  <c r="K8" i="2" s="1"/>
  <c r="L48" i="4"/>
  <c r="D45" i="4"/>
  <c r="C45" i="4"/>
  <c r="K40" i="4"/>
  <c r="L38" i="4"/>
  <c r="K33" i="4"/>
  <c r="K32" i="4"/>
  <c r="L31" i="4"/>
  <c r="K31" i="4"/>
  <c r="L27" i="4"/>
  <c r="L26" i="4"/>
  <c r="K21" i="4"/>
  <c r="L11" i="4"/>
  <c r="K11" i="4"/>
  <c r="K7" i="4"/>
  <c r="L48" i="2"/>
  <c r="D45" i="2"/>
  <c r="C45" i="2"/>
  <c r="K44" i="2"/>
  <c r="L42" i="2"/>
  <c r="K42" i="2"/>
  <c r="E42" i="2"/>
  <c r="C42" i="2" s="1"/>
  <c r="L41" i="2"/>
  <c r="K41" i="2"/>
  <c r="E41" i="2"/>
  <c r="C41" i="2" s="1"/>
  <c r="L40" i="2"/>
  <c r="K40" i="2"/>
  <c r="E40" i="2"/>
  <c r="C40" i="2" s="1"/>
  <c r="L38" i="2"/>
  <c r="E38" i="2"/>
  <c r="K38" i="2"/>
  <c r="C38" i="2"/>
  <c r="I38" i="2" s="1"/>
  <c r="K37" i="2"/>
  <c r="L36" i="2"/>
  <c r="K36" i="2"/>
  <c r="E36" i="2"/>
  <c r="C36" i="2" s="1"/>
  <c r="L35" i="2"/>
  <c r="E35" i="2"/>
  <c r="L33" i="2"/>
  <c r="K33" i="2"/>
  <c r="E33" i="2"/>
  <c r="C33" i="2" s="1"/>
  <c r="L32" i="2"/>
  <c r="K32" i="2"/>
  <c r="E32" i="2"/>
  <c r="C32" i="2" s="1"/>
  <c r="L31" i="2"/>
  <c r="K31" i="2"/>
  <c r="E31" i="2"/>
  <c r="C31" i="2" s="1"/>
  <c r="L30" i="2"/>
  <c r="K30" i="2"/>
  <c r="E30" i="2"/>
  <c r="C30" i="2" s="1"/>
  <c r="L29" i="2"/>
  <c r="E29" i="2"/>
  <c r="C29" i="2"/>
  <c r="I29" i="2" s="1"/>
  <c r="L28" i="2"/>
  <c r="E28" i="2"/>
  <c r="L27" i="2"/>
  <c r="E27" i="2"/>
  <c r="L26" i="2"/>
  <c r="K26" i="2"/>
  <c r="E26" i="2"/>
  <c r="C26" i="2" s="1"/>
  <c r="L25" i="2"/>
  <c r="K25" i="2"/>
  <c r="L24" i="2"/>
  <c r="E24" i="2"/>
  <c r="K23" i="2"/>
  <c r="E23" i="2"/>
  <c r="E22" i="2"/>
  <c r="C22" i="2"/>
  <c r="I22" i="2" s="1"/>
  <c r="L21" i="2"/>
  <c r="K21" i="2"/>
  <c r="E21" i="2"/>
  <c r="C21" i="2"/>
  <c r="L20" i="2"/>
  <c r="E20" i="2"/>
  <c r="C20" i="2" s="1"/>
  <c r="I20" i="2" s="1"/>
  <c r="K19" i="2"/>
  <c r="E19" i="2"/>
  <c r="C19" i="2" s="1"/>
  <c r="I19" i="2" s="1"/>
  <c r="L18" i="2"/>
  <c r="E18" i="2"/>
  <c r="L17" i="2"/>
  <c r="H16" i="2"/>
  <c r="L16" i="2" s="1"/>
  <c r="L15" i="2"/>
  <c r="E15" i="2"/>
  <c r="K15" i="2"/>
  <c r="L14" i="2"/>
  <c r="K14" i="2"/>
  <c r="E14" i="2"/>
  <c r="C14" i="2" s="1"/>
  <c r="L13" i="2"/>
  <c r="K13" i="2"/>
  <c r="E13" i="2"/>
  <c r="C13" i="2"/>
  <c r="L12" i="2"/>
  <c r="E12" i="2"/>
  <c r="C12" i="2"/>
  <c r="I12" i="2" s="1"/>
  <c r="L11" i="2"/>
  <c r="K11" i="2"/>
  <c r="E11" i="2"/>
  <c r="C11" i="2"/>
  <c r="L9" i="2"/>
  <c r="K9" i="2"/>
  <c r="E9" i="2"/>
  <c r="C9" i="2"/>
  <c r="L7" i="2"/>
  <c r="K7" i="2"/>
  <c r="E7" i="2"/>
  <c r="C7" i="2"/>
  <c r="I46" i="6" l="1"/>
  <c r="C46" i="6" s="1"/>
  <c r="E45" i="2"/>
  <c r="L45" i="2" s="1"/>
  <c r="E45" i="4"/>
  <c r="L45" i="4" s="1"/>
  <c r="C23" i="2"/>
  <c r="I23" i="2" s="1"/>
  <c r="E16" i="2"/>
  <c r="C16" i="2" s="1"/>
  <c r="I16" i="2" s="1"/>
  <c r="I45" i="4"/>
  <c r="C24" i="2"/>
  <c r="E39" i="2"/>
  <c r="C39" i="2" s="1"/>
  <c r="I39" i="2" s="1"/>
  <c r="C18" i="2"/>
  <c r="I18" i="2" s="1"/>
  <c r="C25" i="6"/>
  <c r="C43" i="6"/>
  <c r="P19" i="6"/>
  <c r="L19" i="6"/>
  <c r="H51" i="6"/>
  <c r="P10" i="6"/>
  <c r="L10" i="6"/>
  <c r="L49" i="6" s="1"/>
  <c r="S44" i="6"/>
  <c r="C44" i="6"/>
  <c r="C48" i="6"/>
  <c r="P37" i="6"/>
  <c r="L37" i="6"/>
  <c r="H47" i="6"/>
  <c r="R47" i="6" s="1"/>
  <c r="R52" i="6" s="1"/>
  <c r="E43" i="2"/>
  <c r="E37" i="2"/>
  <c r="C37" i="2" s="1"/>
  <c r="I37" i="2" s="1"/>
  <c r="C35" i="2"/>
  <c r="I35" i="2" s="1"/>
  <c r="K35" i="2"/>
  <c r="C28" i="2"/>
  <c r="I28" i="2" s="1"/>
  <c r="C27" i="2"/>
  <c r="I27" i="2" s="1"/>
  <c r="C15" i="2"/>
  <c r="I15" i="2" s="1"/>
  <c r="E10" i="2"/>
  <c r="C10" i="2" s="1"/>
  <c r="I10" i="2" s="1"/>
  <c r="E8" i="2"/>
  <c r="C8" i="2" s="1"/>
  <c r="I8" i="2" s="1"/>
  <c r="K45" i="4"/>
  <c r="L34" i="4"/>
  <c r="K10" i="4"/>
  <c r="K48" i="4"/>
  <c r="I46" i="4"/>
  <c r="C46" i="4" s="1"/>
  <c r="K18" i="2"/>
  <c r="C43" i="2"/>
  <c r="K45" i="2"/>
  <c r="C48" i="2"/>
  <c r="K22" i="2"/>
  <c r="L34" i="2"/>
  <c r="K10" i="2"/>
  <c r="K16" i="2"/>
  <c r="K48" i="2"/>
  <c r="I45" i="2"/>
  <c r="L19" i="2"/>
  <c r="L51" i="2" s="1"/>
  <c r="K34" i="2"/>
  <c r="L22" i="2"/>
  <c r="K29" i="2"/>
  <c r="I46" i="2"/>
  <c r="C46" i="2" s="1"/>
  <c r="K39" i="1"/>
  <c r="H39" i="4" s="1"/>
  <c r="L39" i="4" s="1"/>
  <c r="G39" i="1"/>
  <c r="D39" i="4" s="1"/>
  <c r="K39" i="4" s="1"/>
  <c r="G38" i="1"/>
  <c r="D38" i="4" s="1"/>
  <c r="K38" i="4" s="1"/>
  <c r="K37" i="1"/>
  <c r="H37" i="4" s="1"/>
  <c r="L37" i="4" s="1"/>
  <c r="G37" i="1"/>
  <c r="D37" i="4" s="1"/>
  <c r="K37" i="4" s="1"/>
  <c r="K35" i="1"/>
  <c r="H35" i="4" s="1"/>
  <c r="L35" i="4" s="1"/>
  <c r="G36" i="1"/>
  <c r="D36" i="4" s="1"/>
  <c r="I36" i="4" s="1"/>
  <c r="G48" i="1"/>
  <c r="K48" i="1"/>
  <c r="G34" i="1"/>
  <c r="D34" i="4" s="1"/>
  <c r="K34" i="4" s="1"/>
  <c r="G12" i="1"/>
  <c r="D12" i="4" s="1"/>
  <c r="K12" i="4" s="1"/>
  <c r="K10" i="1"/>
  <c r="H10" i="4" s="1"/>
  <c r="L10" i="4" s="1"/>
  <c r="K8" i="1"/>
  <c r="H8" i="4" s="1"/>
  <c r="L8" i="4" s="1"/>
  <c r="G8" i="1"/>
  <c r="D8" i="4" s="1"/>
  <c r="K8" i="4" s="1"/>
  <c r="G28" i="1"/>
  <c r="D28" i="4" s="1"/>
  <c r="K28" i="4" s="1"/>
  <c r="S46" i="6" l="1"/>
  <c r="L36" i="1"/>
  <c r="I44" i="2"/>
  <c r="C44" i="2" s="1"/>
  <c r="E44" i="2" s="1"/>
  <c r="L44" i="2" s="1"/>
  <c r="K51" i="2"/>
  <c r="C51" i="2" s="1"/>
  <c r="D51" i="2" s="1"/>
  <c r="K36" i="4"/>
  <c r="I47" i="6"/>
  <c r="I47" i="4"/>
  <c r="D46" i="4"/>
  <c r="K46" i="4" s="1"/>
  <c r="I47" i="2"/>
  <c r="D46" i="2"/>
  <c r="K46" i="2" s="1"/>
  <c r="K15" i="1"/>
  <c r="H15" i="4" s="1"/>
  <c r="L15" i="4" s="1"/>
  <c r="G15" i="1"/>
  <c r="D15" i="4" s="1"/>
  <c r="K15" i="4" s="1"/>
  <c r="L17" i="1"/>
  <c r="K17" i="1"/>
  <c r="H17" i="4" s="1"/>
  <c r="L17" i="4" s="1"/>
  <c r="K16" i="1"/>
  <c r="H16" i="4" s="1"/>
  <c r="L16" i="4" s="1"/>
  <c r="G16" i="1"/>
  <c r="D16" i="4" s="1"/>
  <c r="K16" i="4" s="1"/>
  <c r="G18" i="1"/>
  <c r="D18" i="4" s="1"/>
  <c r="K18" i="4" s="1"/>
  <c r="E46" i="4" l="1"/>
  <c r="L46" i="4" s="1"/>
  <c r="S47" i="6"/>
  <c r="S52" i="6" s="1"/>
  <c r="G52" i="6" s="1"/>
  <c r="I52" i="6" s="1"/>
  <c r="C47" i="6"/>
  <c r="E51" i="2"/>
  <c r="C47" i="4"/>
  <c r="D47" i="2"/>
  <c r="K47" i="2" s="1"/>
  <c r="K52" i="2" s="1"/>
  <c r="C47" i="2"/>
  <c r="E46" i="2"/>
  <c r="L46" i="2" s="1"/>
  <c r="G29" i="1"/>
  <c r="D29" i="4" s="1"/>
  <c r="K29" i="4" s="1"/>
  <c r="G24" i="1"/>
  <c r="D24" i="4" s="1"/>
  <c r="K24" i="4" s="1"/>
  <c r="K20" i="1"/>
  <c r="G20" i="1"/>
  <c r="D20" i="4" s="1"/>
  <c r="K20" i="4" s="1"/>
  <c r="K22" i="1"/>
  <c r="H22" i="4" s="1"/>
  <c r="L22" i="4" s="1"/>
  <c r="G22" i="1"/>
  <c r="K19" i="1"/>
  <c r="H19" i="4" s="1"/>
  <c r="L19" i="4" s="1"/>
  <c r="G19" i="1"/>
  <c r="D19" i="4" s="1"/>
  <c r="K19" i="4" s="1"/>
  <c r="G25" i="1"/>
  <c r="D25" i="4" s="1"/>
  <c r="K25" i="4" s="1"/>
  <c r="K25" i="1"/>
  <c r="G44" i="1"/>
  <c r="D44" i="4" s="1"/>
  <c r="K44" i="4" s="1"/>
  <c r="G43" i="1"/>
  <c r="K43" i="1"/>
  <c r="H43" i="4" s="1"/>
  <c r="L43" i="4" s="1"/>
  <c r="G45" i="1"/>
  <c r="L46" i="1" s="1"/>
  <c r="F46" i="1" s="1"/>
  <c r="F45" i="1"/>
  <c r="H45" i="1" s="1"/>
  <c r="O45" i="1" s="1"/>
  <c r="N45" i="1"/>
  <c r="G27" i="1"/>
  <c r="N35" i="1"/>
  <c r="O48" i="1"/>
  <c r="N48" i="1"/>
  <c r="H48" i="1"/>
  <c r="F48" i="1" s="1"/>
  <c r="H43" i="1"/>
  <c r="E43" i="4" s="1"/>
  <c r="O42" i="1"/>
  <c r="N42" i="1"/>
  <c r="H42" i="1"/>
  <c r="O41" i="1"/>
  <c r="N41" i="1"/>
  <c r="H41" i="1"/>
  <c r="O40" i="1"/>
  <c r="N40" i="1"/>
  <c r="H40" i="1"/>
  <c r="O39" i="1"/>
  <c r="N39" i="1"/>
  <c r="H39" i="1"/>
  <c r="O38" i="1"/>
  <c r="N38" i="1"/>
  <c r="H38" i="1"/>
  <c r="O37" i="1"/>
  <c r="N37" i="1"/>
  <c r="H37" i="1"/>
  <c r="O36" i="1"/>
  <c r="N36" i="1"/>
  <c r="H36" i="1"/>
  <c r="O35" i="1"/>
  <c r="H35" i="1"/>
  <c r="O34" i="1"/>
  <c r="N34" i="1"/>
  <c r="H34" i="1"/>
  <c r="O33" i="1"/>
  <c r="N33" i="1"/>
  <c r="H33" i="1"/>
  <c r="O32" i="1"/>
  <c r="N32" i="1"/>
  <c r="H32" i="1"/>
  <c r="O31" i="1"/>
  <c r="N31" i="1"/>
  <c r="H31" i="1"/>
  <c r="O30" i="1"/>
  <c r="N30" i="1"/>
  <c r="H30" i="1"/>
  <c r="O29" i="1"/>
  <c r="N29" i="1"/>
  <c r="H29" i="1"/>
  <c r="O28" i="1"/>
  <c r="N28" i="1"/>
  <c r="H28" i="1"/>
  <c r="O27" i="1"/>
  <c r="H27" i="1"/>
  <c r="E27" i="4" s="1"/>
  <c r="O26" i="1"/>
  <c r="N26" i="1"/>
  <c r="H26" i="1"/>
  <c r="O24" i="1"/>
  <c r="H24" i="1"/>
  <c r="O23" i="1"/>
  <c r="N23" i="1"/>
  <c r="H23" i="1"/>
  <c r="O22" i="1"/>
  <c r="O21" i="1"/>
  <c r="N21" i="1"/>
  <c r="H21" i="1"/>
  <c r="O20" i="1"/>
  <c r="O19" i="1"/>
  <c r="N19" i="1"/>
  <c r="O18" i="1"/>
  <c r="N18" i="1"/>
  <c r="H18" i="1"/>
  <c r="O17" i="1"/>
  <c r="N17" i="1"/>
  <c r="H17" i="1"/>
  <c r="O16" i="1"/>
  <c r="N16" i="1"/>
  <c r="H16" i="1"/>
  <c r="O15" i="1"/>
  <c r="N15" i="1"/>
  <c r="H15" i="1"/>
  <c r="O14" i="1"/>
  <c r="N14" i="1"/>
  <c r="H14" i="1"/>
  <c r="O13" i="1"/>
  <c r="N13" i="1"/>
  <c r="H13" i="1"/>
  <c r="O12" i="1"/>
  <c r="N12" i="1"/>
  <c r="H12" i="1"/>
  <c r="O11" i="1"/>
  <c r="N11" i="1"/>
  <c r="H11" i="1"/>
  <c r="O10" i="1"/>
  <c r="N10" i="1"/>
  <c r="H10" i="1"/>
  <c r="O9" i="1"/>
  <c r="N9" i="1"/>
  <c r="H9" i="1"/>
  <c r="O8" i="1"/>
  <c r="N8" i="1"/>
  <c r="H8" i="1"/>
  <c r="O7" i="1"/>
  <c r="N7" i="1"/>
  <c r="H7" i="1"/>
  <c r="G46" i="1" l="1"/>
  <c r="N46" i="1" s="1"/>
  <c r="L47" i="1"/>
  <c r="L48" i="1"/>
  <c r="C48" i="4"/>
  <c r="F26" i="1"/>
  <c r="C26" i="4" s="1"/>
  <c r="E26" i="4"/>
  <c r="F40" i="1"/>
  <c r="C40" i="4" s="1"/>
  <c r="E40" i="4"/>
  <c r="N27" i="1"/>
  <c r="D27" i="4"/>
  <c r="K27" i="4" s="1"/>
  <c r="F17" i="1"/>
  <c r="C17" i="4" s="1"/>
  <c r="I17" i="4" s="1"/>
  <c r="C17" i="1"/>
  <c r="E17" i="4"/>
  <c r="F12" i="1"/>
  <c r="E12" i="4"/>
  <c r="N20" i="1"/>
  <c r="F35" i="1"/>
  <c r="E35" i="4"/>
  <c r="F38" i="1"/>
  <c r="E38" i="4"/>
  <c r="O43" i="1"/>
  <c r="N43" i="1"/>
  <c r="D43" i="4"/>
  <c r="K43" i="4" s="1"/>
  <c r="F21" i="1"/>
  <c r="C21" i="4" s="1"/>
  <c r="E21" i="4"/>
  <c r="F14" i="1"/>
  <c r="C14" i="4" s="1"/>
  <c r="E14" i="4"/>
  <c r="F29" i="1"/>
  <c r="E29" i="4"/>
  <c r="F9" i="1"/>
  <c r="C9" i="4" s="1"/>
  <c r="E9" i="4"/>
  <c r="F23" i="1"/>
  <c r="E23" i="4"/>
  <c r="F32" i="1"/>
  <c r="C32" i="4" s="1"/>
  <c r="E32" i="4"/>
  <c r="F7" i="1"/>
  <c r="C7" i="4" s="1"/>
  <c r="E7" i="4"/>
  <c r="F15" i="1"/>
  <c r="E15" i="4"/>
  <c r="F30" i="1"/>
  <c r="C30" i="4" s="1"/>
  <c r="E30" i="4"/>
  <c r="F41" i="1"/>
  <c r="C41" i="4" s="1"/>
  <c r="E41" i="4"/>
  <c r="L45" i="1"/>
  <c r="N22" i="1"/>
  <c r="D22" i="4"/>
  <c r="K22" i="4" s="1"/>
  <c r="O51" i="1"/>
  <c r="F13" i="1"/>
  <c r="C13" i="4" s="1"/>
  <c r="E13" i="4"/>
  <c r="N24" i="1"/>
  <c r="F28" i="1"/>
  <c r="E28" i="4"/>
  <c r="F39" i="1"/>
  <c r="C39" i="1"/>
  <c r="E39" i="4"/>
  <c r="H25" i="1"/>
  <c r="H25" i="4"/>
  <c r="L25" i="4" s="1"/>
  <c r="F10" i="1"/>
  <c r="E10" i="4"/>
  <c r="F18" i="1"/>
  <c r="C18" i="1"/>
  <c r="E18" i="4"/>
  <c r="F33" i="1"/>
  <c r="C33" i="4" s="1"/>
  <c r="E33" i="4"/>
  <c r="F8" i="1"/>
  <c r="E8" i="4"/>
  <c r="F31" i="1"/>
  <c r="C31" i="4" s="1"/>
  <c r="E31" i="4"/>
  <c r="F24" i="1"/>
  <c r="C24" i="4" s="1"/>
  <c r="E24" i="4"/>
  <c r="F36" i="1"/>
  <c r="C36" i="4" s="1"/>
  <c r="E36" i="4"/>
  <c r="C48" i="1"/>
  <c r="F16" i="1"/>
  <c r="C16" i="1" s="1"/>
  <c r="E16" i="4"/>
  <c r="F42" i="1"/>
  <c r="C42" i="4" s="1"/>
  <c r="E42" i="4"/>
  <c r="F11" i="1"/>
  <c r="C11" i="4" s="1"/>
  <c r="E11" i="4"/>
  <c r="H19" i="1"/>
  <c r="H22" i="1"/>
  <c r="N25" i="1"/>
  <c r="F34" i="1"/>
  <c r="C34" i="1"/>
  <c r="E34" i="4"/>
  <c r="F37" i="1"/>
  <c r="E37" i="4"/>
  <c r="H20" i="1"/>
  <c r="H20" i="4"/>
  <c r="L20" i="4" s="1"/>
  <c r="H52" i="6"/>
  <c r="D47" i="4"/>
  <c r="K47" i="4" s="1"/>
  <c r="K52" i="4" s="1"/>
  <c r="E47" i="2"/>
  <c r="L47" i="2" s="1"/>
  <c r="L52" i="2" s="1"/>
  <c r="C52" i="2" s="1"/>
  <c r="N51" i="1"/>
  <c r="F51" i="1" s="1"/>
  <c r="O25" i="1"/>
  <c r="N44" i="1"/>
  <c r="F43" i="1"/>
  <c r="F47" i="1"/>
  <c r="F27" i="1"/>
  <c r="H46" i="1"/>
  <c r="C29" i="4" l="1"/>
  <c r="I29" i="4" s="1"/>
  <c r="L29" i="1"/>
  <c r="L27" i="1"/>
  <c r="C27" i="4"/>
  <c r="I27" i="4" s="1"/>
  <c r="C28" i="4"/>
  <c r="I28" i="4" s="1"/>
  <c r="L28" i="1"/>
  <c r="C38" i="4"/>
  <c r="I38" i="4" s="1"/>
  <c r="L38" i="1"/>
  <c r="C15" i="4"/>
  <c r="I15" i="4" s="1"/>
  <c r="L15" i="1"/>
  <c r="C39" i="4"/>
  <c r="I39" i="4" s="1"/>
  <c r="L39" i="1"/>
  <c r="F22" i="1"/>
  <c r="E22" i="4"/>
  <c r="C16" i="4"/>
  <c r="I16" i="4" s="1"/>
  <c r="L16" i="1"/>
  <c r="L10" i="1"/>
  <c r="C10" i="4"/>
  <c r="I10" i="4" s="1"/>
  <c r="L44" i="1"/>
  <c r="F44" i="1" s="1"/>
  <c r="C43" i="4"/>
  <c r="I44" i="4" s="1"/>
  <c r="C35" i="4"/>
  <c r="I35" i="4" s="1"/>
  <c r="L35" i="1"/>
  <c r="C12" i="4"/>
  <c r="I12" i="4" s="1"/>
  <c r="L12" i="1"/>
  <c r="O46" i="1"/>
  <c r="C46" i="1"/>
  <c r="C34" i="4"/>
  <c r="I34" i="4" s="1"/>
  <c r="L34" i="1"/>
  <c r="C18" i="4"/>
  <c r="I18" i="4" s="1"/>
  <c r="L18" i="1"/>
  <c r="F20" i="1"/>
  <c r="E20" i="4"/>
  <c r="F19" i="1"/>
  <c r="E19" i="4"/>
  <c r="C8" i="4"/>
  <c r="I8" i="4" s="1"/>
  <c r="L8" i="1"/>
  <c r="F25" i="1"/>
  <c r="C25" i="1"/>
  <c r="E25" i="4"/>
  <c r="L23" i="1"/>
  <c r="C23" i="4"/>
  <c r="I23" i="4" s="1"/>
  <c r="C37" i="4"/>
  <c r="I37" i="4" s="1"/>
  <c r="L37" i="1"/>
  <c r="K51" i="4"/>
  <c r="E47" i="4"/>
  <c r="L47" i="4" s="1"/>
  <c r="E52" i="2"/>
  <c r="D52" i="2"/>
  <c r="G47" i="1"/>
  <c r="N47" i="1" s="1"/>
  <c r="N52" i="1" s="1"/>
  <c r="G51" i="1"/>
  <c r="H51" i="1"/>
  <c r="C20" i="4" l="1"/>
  <c r="I20" i="4" s="1"/>
  <c r="L20" i="1"/>
  <c r="L51" i="4"/>
  <c r="C51" i="4" s="1"/>
  <c r="C25" i="4"/>
  <c r="I25" i="4" s="1"/>
  <c r="L25" i="1"/>
  <c r="C22" i="4"/>
  <c r="I22" i="4" s="1"/>
  <c r="L22" i="1"/>
  <c r="H44" i="1"/>
  <c r="C44" i="4"/>
  <c r="C19" i="4"/>
  <c r="I19" i="4" s="1"/>
  <c r="L19" i="1"/>
  <c r="H47" i="1"/>
  <c r="O47" i="1" s="1"/>
  <c r="D51" i="4" l="1"/>
  <c r="E51" i="4"/>
  <c r="E44" i="4"/>
  <c r="L44" i="4" s="1"/>
  <c r="L52" i="4" s="1"/>
  <c r="C52" i="4" s="1"/>
  <c r="O44" i="1"/>
  <c r="O52" i="1"/>
  <c r="F52" i="1" s="1"/>
  <c r="G52" i="1" s="1"/>
  <c r="E52" i="4" l="1"/>
  <c r="D52" i="4"/>
  <c r="H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Massimo Lavaroni</author>
  </authors>
  <commentList>
    <comment ref="L5" authorId="0" shapeId="0" xr:uid="{FA7F9465-0AA5-4888-9F19-974EC373F42C}">
      <text>
        <r>
          <rPr>
            <b/>
            <sz val="9"/>
            <color indexed="81"/>
            <rFont val="Tahoma"/>
            <family val="2"/>
          </rPr>
          <t>Massimo Lavaroni:</t>
        </r>
        <r>
          <rPr>
            <sz val="9"/>
            <color indexed="81"/>
            <rFont val="Tahoma"/>
            <family val="2"/>
          </rPr>
          <t xml:space="preserve">
media pondereata tra area nord e area sud</t>
        </r>
      </text>
    </comment>
    <comment ref="L34" authorId="0" shapeId="0" xr:uid="{DB7A3E07-9866-4289-90A2-973F1B3DA919}">
      <text>
        <r>
          <rPr>
            <b/>
            <sz val="9"/>
            <color indexed="81"/>
            <rFont val="Tahoma"/>
            <family val="2"/>
          </rPr>
          <t>Massimo Lavaroni:</t>
        </r>
        <r>
          <rPr>
            <sz val="9"/>
            <color indexed="81"/>
            <rFont val="Tahoma"/>
            <family val="2"/>
          </rPr>
          <t xml:space="preserve">
ore</t>
        </r>
      </text>
    </comment>
    <comment ref="L48" authorId="0" shapeId="0" xr:uid="{8A62777D-F499-4862-8F74-06D64A974B0D}">
      <text>
        <r>
          <rPr>
            <b/>
            <sz val="9"/>
            <color indexed="81"/>
            <rFont val="Tahoma"/>
            <family val="2"/>
          </rPr>
          <t>Massimo Lavaroni:</t>
        </r>
        <r>
          <rPr>
            <sz val="9"/>
            <color indexed="81"/>
            <rFont val="Tahoma"/>
            <family val="2"/>
          </rPr>
          <t xml:space="preserve">
secondi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Massimo Lavaroni</author>
  </authors>
  <commentList>
    <comment ref="I5" authorId="0" shapeId="0" xr:uid="{3B44F324-DB5E-4F66-9DC4-62659B1D0423}">
      <text>
        <r>
          <rPr>
            <b/>
            <sz val="9"/>
            <color indexed="81"/>
            <rFont val="Tahoma"/>
            <family val="2"/>
          </rPr>
          <t>Massimo Lavaroni:</t>
        </r>
        <r>
          <rPr>
            <sz val="9"/>
            <color indexed="81"/>
            <rFont val="Tahoma"/>
            <family val="2"/>
          </rPr>
          <t xml:space="preserve">
media pondereata tra area nord e area sud</t>
        </r>
      </text>
    </comment>
    <comment ref="I34" authorId="0" shapeId="0" xr:uid="{C7A3D7FA-EC85-4ED2-AF9A-E6D1F90ADF14}">
      <text>
        <r>
          <rPr>
            <b/>
            <sz val="9"/>
            <color indexed="81"/>
            <rFont val="Tahoma"/>
            <family val="2"/>
          </rPr>
          <t>Massimo Lavaroni:</t>
        </r>
        <r>
          <rPr>
            <sz val="9"/>
            <color indexed="81"/>
            <rFont val="Tahoma"/>
            <family val="2"/>
          </rPr>
          <t xml:space="preserve">
ore</t>
        </r>
      </text>
    </comment>
    <comment ref="I48" authorId="0" shapeId="0" xr:uid="{ED2665F5-2A04-49EE-8BF9-3CCC8BFF99B5}">
      <text>
        <r>
          <rPr>
            <b/>
            <sz val="9"/>
            <color indexed="81"/>
            <rFont val="Tahoma"/>
            <family val="2"/>
          </rPr>
          <t>Massimo Lavaroni:</t>
        </r>
        <r>
          <rPr>
            <sz val="9"/>
            <color indexed="81"/>
            <rFont val="Tahoma"/>
            <family val="2"/>
          </rPr>
          <t xml:space="preserve">
secondi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Massimo Lavaroni</author>
  </authors>
  <commentList>
    <comment ref="I5" authorId="0" shapeId="0" xr:uid="{692FBA71-8D72-431A-A9F4-E8179B53B571}">
      <text>
        <r>
          <rPr>
            <b/>
            <sz val="9"/>
            <color indexed="81"/>
            <rFont val="Tahoma"/>
            <family val="2"/>
          </rPr>
          <t>Massimo Lavaroni:</t>
        </r>
        <r>
          <rPr>
            <sz val="9"/>
            <color indexed="81"/>
            <rFont val="Tahoma"/>
            <family val="2"/>
          </rPr>
          <t xml:space="preserve">
media pondereata tra area nord e area sud</t>
        </r>
      </text>
    </comment>
    <comment ref="I34" authorId="0" shapeId="0" xr:uid="{1E50BF99-E23C-45A9-AE31-406DCCE663B0}">
      <text>
        <r>
          <rPr>
            <b/>
            <sz val="9"/>
            <color indexed="81"/>
            <rFont val="Tahoma"/>
            <family val="2"/>
          </rPr>
          <t>Massimo Lavaroni:</t>
        </r>
        <r>
          <rPr>
            <sz val="9"/>
            <color indexed="81"/>
            <rFont val="Tahoma"/>
            <family val="2"/>
          </rPr>
          <t xml:space="preserve">
ore</t>
        </r>
      </text>
    </comment>
    <comment ref="H35" authorId="0" shapeId="0" xr:uid="{A2B1C0D4-ECB2-47A5-8EA5-A6C903AEC58E}">
      <text>
        <r>
          <rPr>
            <b/>
            <sz val="9"/>
            <color indexed="81"/>
            <rFont val="Tahoma"/>
            <family val="2"/>
          </rPr>
          <t>Massimo Lavaroni:</t>
        </r>
        <r>
          <rPr>
            <sz val="9"/>
            <color indexed="81"/>
            <rFont val="Tahoma"/>
            <family val="2"/>
          </rPr>
          <t xml:space="preserve">
No indennizzo, motivazione ritardo TICSI
</t>
        </r>
      </text>
    </comment>
    <comment ref="I48" authorId="0" shapeId="0" xr:uid="{534717DA-188F-4D1F-A570-BE44563AA36B}">
      <text>
        <r>
          <rPr>
            <b/>
            <sz val="9"/>
            <color indexed="81"/>
            <rFont val="Tahoma"/>
            <family val="2"/>
          </rPr>
          <t>Massimo Lavaroni:</t>
        </r>
        <r>
          <rPr>
            <sz val="9"/>
            <color indexed="81"/>
            <rFont val="Tahoma"/>
            <family val="2"/>
          </rPr>
          <t xml:space="preserve">
secondi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Massimo Lavaroni</author>
  </authors>
  <commentList>
    <comment ref="P5" authorId="0" shapeId="0" xr:uid="{DBCF1E8B-6F76-4BC5-96E5-B313C3A78949}">
      <text>
        <r>
          <rPr>
            <sz val="9"/>
            <color indexed="81"/>
            <rFont val="Tahoma"/>
            <family val="2"/>
          </rPr>
          <t xml:space="preserve">
media pondereata tra area nord e area sud</t>
        </r>
      </text>
    </comment>
    <comment ref="P34" authorId="0" shapeId="0" xr:uid="{1E228B08-A49D-4E00-9AC7-FDC739CED80D}">
      <text>
        <r>
          <rPr>
            <b/>
            <sz val="9"/>
            <color indexed="81"/>
            <rFont val="Tahoma"/>
            <family val="2"/>
          </rPr>
          <t>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 xr:uid="{4126A418-D38E-4271-BF32-6F2E74A9FF47}">
      <text>
        <r>
          <rPr>
            <sz val="9"/>
            <color indexed="81"/>
            <rFont val="Tahoma"/>
            <family val="2"/>
          </rPr>
          <t xml:space="preserve">
secondi</t>
        </r>
      </text>
    </comment>
  </commentList>
</comments>
</file>

<file path=xl/sharedStrings.xml><?xml version="1.0" encoding="utf-8"?>
<sst xmlns="http://schemas.openxmlformats.org/spreadsheetml/2006/main" count="674" uniqueCount="102">
  <si>
    <t>Numero comuni</t>
  </si>
  <si>
    <t>Attenzione: Valori negativi non ammessi</t>
  </si>
  <si>
    <t>Popolazione residente</t>
  </si>
  <si>
    <t>Numero utenze</t>
  </si>
  <si>
    <t>Macro-Indicatore</t>
  </si>
  <si>
    <t>Indicatore semplice</t>
  </si>
  <si>
    <t>Tot eseguite</t>
  </si>
  <si>
    <t>Tot eseguite entro lo std</t>
  </si>
  <si>
    <t>Tot eseguite oltre lo std</t>
  </si>
  <si>
    <t>Cause di mancato rispetto</t>
  </si>
  <si>
    <t>Tot eseguite entro lo std scalate</t>
  </si>
  <si>
    <t>Tot eseguite oltre lo std per cause imputabili al gestore scalate</t>
  </si>
  <si>
    <t>num. casi di forza maggiore
[comma 71.1.a)]</t>
  </si>
  <si>
    <t>num. casi imputabili all'utente finale o a terzi
[comma 71.1.b)]</t>
  </si>
  <si>
    <t>imputabili al gestore</t>
  </si>
  <si>
    <t>MC1</t>
  </si>
  <si>
    <t>Tempo di preventivazione per allaccio idrico senza sopralluogo</t>
  </si>
  <si>
    <t>Tempo di preventivazione per allaccio fognario senza sopralluogo</t>
  </si>
  <si>
    <t>Tempo di preventivazione per lavori senza sopralluogo</t>
  </si>
  <si>
    <t>Tempo di preventivazione per allaccio idrico con sopralluogo</t>
  </si>
  <si>
    <t>Tempo di preventivazione per allaccio fognario con sopralluogo</t>
  </si>
  <si>
    <t>Tempo di preventivazione per lavori con sopralluogo</t>
  </si>
  <si>
    <t>Tempo di esecuzione dell'allaccio idrico che comporta l'esecuzione di lavoro semplice</t>
  </si>
  <si>
    <t>Tempo di esecuzione dell'allaccio fognario che comporta l'esecuzione di lavoro semplice</t>
  </si>
  <si>
    <t>Tempo di esecuzione di lavori semplici</t>
  </si>
  <si>
    <t>Tempo di esecuzione dell'allaccio idrico complesso</t>
  </si>
  <si>
    <t>Tempo di esecuzione dell'allaccio fognario complesso</t>
  </si>
  <si>
    <t>Tempo di esecuzione di lavori complessi</t>
  </si>
  <si>
    <t>Tempo di attivazione, della fornitura</t>
  </si>
  <si>
    <t>Tempo di riattivazione, ovvero di subentro nella fornitura senza modifiche alla portata del misuratore</t>
  </si>
  <si>
    <t>Tempo di riattivazione, ovvero di subentro nella fornitura con modifiche alla portata del misuratore</t>
  </si>
  <si>
    <t>Tempo di riattivazione della fornitura in seguito a disattivazione per morosità</t>
  </si>
  <si>
    <t>Tempo di disattivazione della fornitura</t>
  </si>
  <si>
    <t>Tempo di esecuzione della voltura</t>
  </si>
  <si>
    <t>MC2</t>
  </si>
  <si>
    <t>Tempo massimo per l'appuntamento concordato</t>
  </si>
  <si>
    <t>Preavviso minimo per la disdetta dell'appuntamento concordato</t>
  </si>
  <si>
    <t>Fascia di puntualità per gli appuntamenti</t>
  </si>
  <si>
    <t>Tempo di intervento per la verifica del misuratore</t>
  </si>
  <si>
    <t>Tempo di comunicazione dell'esito della verifica del misuratore effettuata in loco</t>
  </si>
  <si>
    <t>Tempo di comunicazione dell'esito della verifica del misuratore effettuata in laboratorio</t>
  </si>
  <si>
    <t>Tempo di sostituzione del misuratore malfunzionante</t>
  </si>
  <si>
    <t>Tempo di intervento per la verifica del livello di pressione</t>
  </si>
  <si>
    <t>Tempo di comunicazione dell'esito della verifica del livello di pressione</t>
  </si>
  <si>
    <t>Tempo di arrivo sul luogo di chiamata per pronto intervento</t>
  </si>
  <si>
    <t>Tempo per l'emissione della fattura</t>
  </si>
  <si>
    <t>Tempo di rettifica di fatturazione</t>
  </si>
  <si>
    <t>Tempo per la risposta a reclami</t>
  </si>
  <si>
    <t>Tempo per la risposta a richieste scritte di informazioni</t>
  </si>
  <si>
    <t>Tempo per la risposta a richieste scritte di rettifica di fatturazione</t>
  </si>
  <si>
    <t>Tempo per l'inoltro della richiesta ricevuta dall'utente finale al gestore del servizio di fognatura e/o depurazione</t>
  </si>
  <si>
    <t>Tempo per l'inoltro all'utente finale della comunicazione ricevuta dal gestore del servizio di fognatura e/o depurazione</t>
  </si>
  <si>
    <t>Tempo per la comunicazione dell'avvenuta attivazione, riattivazione, subentro, cessazione, voltura</t>
  </si>
  <si>
    <t>Tempo massimo di attesa agli sportelli</t>
  </si>
  <si>
    <t>Tempo medio di attesa agli sportelli</t>
  </si>
  <si>
    <t>Livello del servizio telefonico (LS)</t>
  </si>
  <si>
    <t>Accessibilità al servizio telefonico (AS)</t>
  </si>
  <si>
    <t>Tempo medio di attesa (secondi)  per il servizio telefonico (TMA)</t>
  </si>
  <si>
    <t>Classe di partenza</t>
  </si>
  <si>
    <t>Obiettivo 2020</t>
  </si>
  <si>
    <t>Totali per Macro-Indicatori</t>
  </si>
  <si>
    <t>Riepilogo per Macro-Indicatori - AS 2019</t>
  </si>
  <si>
    <t>LTA (Area nord + sud)</t>
  </si>
  <si>
    <t>Valori Macro-Indicatori 2019</t>
  </si>
  <si>
    <t>Tempo/valore medio effettivo (GG LAVORATIVI)</t>
  </si>
  <si>
    <t>LTA (Area Sud)</t>
  </si>
  <si>
    <t>Livello del servizio telefonico (LS) - NON SEPARABILE AREA NORD E SUD</t>
  </si>
  <si>
    <t>Accessibilità al servizio telefonico (AS) - NON SEPARABILE AREA NORD E SUD</t>
  </si>
  <si>
    <t>LTA (Area Nord)</t>
  </si>
  <si>
    <t>AREA SUD</t>
  </si>
  <si>
    <t>AREA NORD</t>
  </si>
  <si>
    <t>Tempo medio di attesa (secondi)  per il servizio telefonico (TMA) - NON SEPARABILE AREA NORD E SUD</t>
  </si>
  <si>
    <t>anomalia tra area nord e sud</t>
  </si>
  <si>
    <t>area nord pochi stacchi?</t>
  </si>
  <si>
    <t>modalità di verifica del contatore differenti tra aree, vano uniformate</t>
  </si>
  <si>
    <t>Tempo di risposta alla chiamata di pronto intervento (CPI) - NON SEPARABILE AREA NORD E SUD</t>
  </si>
  <si>
    <t xml:space="preserve">Tempo di risposta alla chiamata di pronto intervento (CPI) </t>
  </si>
  <si>
    <t>area nord su area sud</t>
  </si>
  <si>
    <t>note</t>
  </si>
  <si>
    <t>area nord su totale</t>
  </si>
  <si>
    <t>casistica nn presente in lta</t>
  </si>
  <si>
    <t>G</t>
  </si>
  <si>
    <t>ok</t>
  </si>
  <si>
    <t>verifica premio produttività</t>
  </si>
  <si>
    <t>A</t>
  </si>
  <si>
    <t>A-F</t>
  </si>
  <si>
    <t>F</t>
  </si>
  <si>
    <t>C</t>
  </si>
  <si>
    <t>A-F-C</t>
  </si>
  <si>
    <t>TELEKOTTAGE</t>
  </si>
  <si>
    <t>UFFICIO COMPETENTE</t>
  </si>
  <si>
    <t>OBIETTIVO PER PREMIO PRODUTTIVITA' (escluso periodo dal 08.03 al 01.06???)</t>
  </si>
  <si>
    <t>x</t>
  </si>
  <si>
    <t>INDENNIZZI 30€ SE RAGGIUNTO OBIETTIVO</t>
  </si>
  <si>
    <t>SITAUZIONE AL 2019</t>
  </si>
  <si>
    <t>Tipo standard (generale o specifico)</t>
  </si>
  <si>
    <t>S</t>
  </si>
  <si>
    <t xml:space="preserve">standard generale </t>
  </si>
  <si>
    <t>obiettivo 2019</t>
  </si>
  <si>
    <t>Non raggiunto</t>
  </si>
  <si>
    <t>Raggiunto</t>
  </si>
  <si>
    <t>Riepilogo per Macro-Indicatori Qualità contrattuale - AS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</si>
</sst>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\ _€_-;\-* #,##0\ _€_-;_-* &quot;-&quot;??\ _€_-;_-@_-"/>
    <numFmt numFmtId="165" formatCode="0.000"/>
    <numFmt numFmtId="166" formatCode="0.000%"/>
    <numFmt numFmtId="167" formatCode="_-* #,##0_-;\-* #,##0_-;_-* &quot;-&quot;??_-;_-@_-"/>
    <numFmt numFmtId="168" formatCode="_-* #,##0.0_-;\-* #,##0.0_-;_-* &quot;-&quot;??_-;_-@_-"/>
    <numFmt numFmtId="169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rgb="FFFF000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164" fontId="0" fillId="0" borderId="1" xfId="1" applyNumberFormat="1" applyFont="1" applyBorder="1" applyProtection="1">
      <protection locked="0"/>
    </xf>
    <xf numFmtId="0" fontId="2" fillId="0" borderId="0" xfId="0" applyFont="1"/>
    <xf numFmtId="0" fontId="4" fillId="2" borderId="1" xfId="0" applyFont="1" applyFill="1" applyBorder="1" applyAlignment="1">
      <alignment vertical="center" wrapText="1"/>
    </xf>
    <xf numFmtId="0" fontId="5" fillId="0" borderId="2" xfId="0" applyFont="1" applyBorder="1"/>
    <xf numFmtId="1" fontId="6" fillId="3" borderId="3" xfId="0" applyNumberFormat="1" applyFont="1" applyFill="1" applyBorder="1" applyAlignment="1">
      <alignment vertical="center"/>
    </xf>
    <xf numFmtId="0" fontId="0" fillId="0" borderId="2" xfId="0" applyBorder="1" applyProtection="1">
      <protection locked="0"/>
    </xf>
    <xf numFmtId="165" fontId="6" fillId="3" borderId="3" xfId="0" applyNumberFormat="1" applyFont="1" applyFill="1" applyBorder="1" applyAlignment="1">
      <alignment vertical="center"/>
    </xf>
    <xf numFmtId="0" fontId="5" fillId="0" borderId="3" xfId="0" applyFont="1" applyBorder="1"/>
    <xf numFmtId="10" fontId="0" fillId="0" borderId="0" xfId="0" applyNumberFormat="1"/>
    <xf numFmtId="0" fontId="7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1" xfId="0" applyFont="1" applyBorder="1"/>
    <xf numFmtId="166" fontId="6" fillId="3" borderId="1" xfId="2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3" fontId="0" fillId="0" borderId="0" xfId="1" applyFont="1"/>
    <xf numFmtId="43" fontId="0" fillId="2" borderId="2" xfId="1" applyFont="1" applyFill="1" applyBorder="1"/>
    <xf numFmtId="43" fontId="0" fillId="0" borderId="0" xfId="1" applyFont="1" applyAlignment="1">
      <alignment wrapText="1"/>
    </xf>
    <xf numFmtId="167" fontId="0" fillId="2" borderId="2" xfId="1" applyNumberFormat="1" applyFont="1" applyFill="1" applyBorder="1"/>
    <xf numFmtId="167" fontId="0" fillId="0" borderId="2" xfId="1" applyNumberFormat="1" applyFont="1" applyBorder="1" applyProtection="1">
      <protection locked="0"/>
    </xf>
    <xf numFmtId="167" fontId="0" fillId="2" borderId="3" xfId="1" applyNumberFormat="1" applyFont="1" applyFill="1" applyBorder="1"/>
    <xf numFmtId="9" fontId="6" fillId="3" borderId="3" xfId="2" applyNumberFormat="1" applyFont="1" applyFill="1" applyBorder="1" applyAlignment="1">
      <alignment vertical="center"/>
    </xf>
    <xf numFmtId="9" fontId="0" fillId="0" borderId="0" xfId="2" applyNumberFormat="1" applyFont="1"/>
    <xf numFmtId="0" fontId="0" fillId="2" borderId="2" xfId="1" applyNumberFormat="1" applyFont="1" applyFill="1" applyBorder="1"/>
    <xf numFmtId="43" fontId="0" fillId="2" borderId="2" xfId="1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168" fontId="0" fillId="2" borderId="3" xfId="1" applyNumberFormat="1" applyFont="1" applyFill="1" applyBorder="1"/>
    <xf numFmtId="0" fontId="5" fillId="0" borderId="10" xfId="0" applyFont="1" applyBorder="1"/>
    <xf numFmtId="0" fontId="5" fillId="0" borderId="11" xfId="0" applyFont="1" applyBorder="1"/>
    <xf numFmtId="167" fontId="6" fillId="3" borderId="3" xfId="1" applyNumberFormat="1" applyFont="1" applyFill="1" applyBorder="1" applyAlignment="1">
      <alignment vertical="center"/>
    </xf>
    <xf numFmtId="167" fontId="10" fillId="3" borderId="17" xfId="1" applyNumberFormat="1" applyFont="1" applyFill="1" applyBorder="1" applyAlignment="1">
      <alignment vertical="center"/>
    </xf>
    <xf numFmtId="167" fontId="10" fillId="0" borderId="3" xfId="1" applyNumberFormat="1" applyFont="1" applyFill="1" applyBorder="1" applyAlignment="1">
      <alignment vertical="center"/>
    </xf>
    <xf numFmtId="167" fontId="10" fillId="0" borderId="18" xfId="1" applyNumberFormat="1" applyFont="1" applyFill="1" applyBorder="1" applyAlignment="1">
      <alignment vertical="center"/>
    </xf>
    <xf numFmtId="167" fontId="10" fillId="4" borderId="19" xfId="1" applyNumberFormat="1" applyFont="1" applyFill="1" applyBorder="1" applyProtection="1">
      <protection locked="0"/>
    </xf>
    <xf numFmtId="167" fontId="10" fillId="0" borderId="2" xfId="1" applyNumberFormat="1" applyFont="1" applyFill="1" applyBorder="1" applyProtection="1">
      <protection locked="0"/>
    </xf>
    <xf numFmtId="167" fontId="10" fillId="4" borderId="17" xfId="1" applyNumberFormat="1" applyFont="1" applyFill="1" applyBorder="1" applyAlignment="1">
      <alignment vertical="center"/>
    </xf>
    <xf numFmtId="167" fontId="10" fillId="0" borderId="23" xfId="1" applyNumberFormat="1" applyFont="1" applyFill="1" applyBorder="1" applyAlignment="1">
      <alignment vertical="center"/>
    </xf>
    <xf numFmtId="167" fontId="10" fillId="0" borderId="24" xfId="1" applyNumberFormat="1" applyFont="1" applyFill="1" applyBorder="1" applyAlignment="1">
      <alignment vertical="center"/>
    </xf>
    <xf numFmtId="167" fontId="10" fillId="0" borderId="22" xfId="1" applyNumberFormat="1" applyFont="1" applyFill="1" applyBorder="1" applyAlignment="1">
      <alignment vertical="center"/>
    </xf>
    <xf numFmtId="167" fontId="10" fillId="0" borderId="21" xfId="1" applyNumberFormat="1" applyFont="1" applyFill="1" applyBorder="1" applyAlignment="1">
      <alignment vertical="center"/>
    </xf>
    <xf numFmtId="167" fontId="10" fillId="4" borderId="25" xfId="1" applyNumberFormat="1" applyFont="1" applyFill="1" applyBorder="1" applyProtection="1">
      <protection locked="0"/>
    </xf>
    <xf numFmtId="167" fontId="10" fillId="4" borderId="20" xfId="1" applyNumberFormat="1" applyFont="1" applyFill="1" applyBorder="1" applyAlignment="1">
      <alignment vertical="center"/>
    </xf>
    <xf numFmtId="9" fontId="0" fillId="0" borderId="0" xfId="2" applyFont="1"/>
    <xf numFmtId="9" fontId="2" fillId="0" borderId="0" xfId="2" applyFont="1" applyBorder="1" applyAlignment="1">
      <alignment horizontal="center"/>
    </xf>
    <xf numFmtId="9" fontId="10" fillId="0" borderId="18" xfId="2" applyFont="1" applyFill="1" applyBorder="1" applyAlignment="1">
      <alignment vertical="center"/>
    </xf>
    <xf numFmtId="9" fontId="10" fillId="0" borderId="21" xfId="2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9" fontId="5" fillId="0" borderId="2" xfId="2" applyFont="1" applyBorder="1" applyAlignment="1">
      <alignment horizontal="center"/>
    </xf>
    <xf numFmtId="9" fontId="11" fillId="0" borderId="2" xfId="2" applyFont="1" applyBorder="1" applyAlignment="1">
      <alignment horizontal="center"/>
    </xf>
    <xf numFmtId="166" fontId="6" fillId="3" borderId="0" xfId="2" applyNumberFormat="1" applyFont="1" applyFill="1" applyBorder="1" applyAlignment="1">
      <alignment horizontal="center" vertical="center"/>
    </xf>
    <xf numFmtId="164" fontId="0" fillId="0" borderId="0" xfId="1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 vertical="center" wrapText="1"/>
    </xf>
    <xf numFmtId="9" fontId="0" fillId="0" borderId="0" xfId="2" applyFont="1" applyBorder="1" applyProtection="1">
      <protection locked="0"/>
    </xf>
    <xf numFmtId="9" fontId="7" fillId="0" borderId="0" xfId="2" applyFont="1" applyBorder="1" applyAlignment="1">
      <alignment vertical="center" wrapText="1"/>
    </xf>
    <xf numFmtId="9" fontId="6" fillId="3" borderId="0" xfId="2" applyFont="1" applyFill="1" applyBorder="1" applyAlignment="1">
      <alignment horizontal="center" vertical="center"/>
    </xf>
    <xf numFmtId="169" fontId="5" fillId="0" borderId="2" xfId="2" applyNumberFormat="1" applyFont="1" applyBorder="1" applyAlignment="1">
      <alignment horizontal="center"/>
    </xf>
    <xf numFmtId="167" fontId="0" fillId="0" borderId="0" xfId="1" applyNumberFormat="1" applyFont="1" applyBorder="1" applyProtection="1">
      <protection locked="0"/>
    </xf>
    <xf numFmtId="167" fontId="0" fillId="0" borderId="0" xfId="1" applyNumberFormat="1" applyFont="1"/>
    <xf numFmtId="167" fontId="7" fillId="0" borderId="0" xfId="1" applyNumberFormat="1" applyFont="1" applyBorder="1" applyAlignment="1">
      <alignment vertical="center" wrapText="1"/>
    </xf>
    <xf numFmtId="167" fontId="6" fillId="3" borderId="0" xfId="1" applyNumberFormat="1" applyFont="1" applyFill="1" applyBorder="1" applyAlignment="1">
      <alignment horizontal="center" vertical="center"/>
    </xf>
    <xf numFmtId="167" fontId="6" fillId="5" borderId="3" xfId="1" applyNumberFormat="1" applyFont="1" applyFill="1" applyBorder="1" applyAlignment="1">
      <alignment horizontal="center" vertical="center"/>
    </xf>
    <xf numFmtId="9" fontId="6" fillId="5" borderId="3" xfId="2" applyFont="1" applyFill="1" applyBorder="1" applyAlignment="1">
      <alignment vertical="center"/>
    </xf>
    <xf numFmtId="167" fontId="6" fillId="5" borderId="3" xfId="1" applyNumberFormat="1" applyFont="1" applyFill="1" applyBorder="1" applyAlignment="1">
      <alignment vertical="center"/>
    </xf>
    <xf numFmtId="167" fontId="4" fillId="5" borderId="3" xfId="1" applyNumberFormat="1" applyFont="1" applyFill="1" applyBorder="1" applyAlignment="1">
      <alignment horizontal="center" vertical="center"/>
    </xf>
    <xf numFmtId="9" fontId="4" fillId="5" borderId="3" xfId="2" applyNumberFormat="1" applyFont="1" applyFill="1" applyBorder="1" applyAlignment="1">
      <alignment vertical="center"/>
    </xf>
    <xf numFmtId="9" fontId="5" fillId="0" borderId="3" xfId="2" applyFont="1" applyBorder="1" applyAlignment="1">
      <alignment horizontal="center"/>
    </xf>
    <xf numFmtId="9" fontId="12" fillId="0" borderId="2" xfId="2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43" fontId="4" fillId="2" borderId="1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4" fillId="2" borderId="14" xfId="2" applyFont="1" applyFill="1" applyBorder="1" applyAlignment="1">
      <alignment horizontal="center" vertical="center" wrapText="1"/>
    </xf>
    <xf numFmtId="9" fontId="4" fillId="2" borderId="16" xfId="2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9" fontId="4" fillId="5" borderId="26" xfId="2" applyFont="1" applyFill="1" applyBorder="1" applyAlignment="1">
      <alignment horizontal="center" vertical="center" wrapText="1"/>
    </xf>
    <xf numFmtId="9" fontId="4" fillId="5" borderId="27" xfId="2" applyFont="1" applyFill="1" applyBorder="1" applyAlignment="1">
      <alignment horizontal="center" vertical="center" wrapText="1"/>
    </xf>
    <xf numFmtId="167" fontId="4" fillId="5" borderId="26" xfId="1" applyNumberFormat="1" applyFont="1" applyFill="1" applyBorder="1" applyAlignment="1">
      <alignment horizontal="center" vertical="center" wrapText="1"/>
    </xf>
    <xf numFmtId="167" fontId="4" fillId="5" borderId="27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vertical="center"/>
    </xf>
    <xf numFmtId="167" fontId="6" fillId="0" borderId="3" xfId="1" applyNumberFormat="1" applyFont="1" applyFill="1" applyBorder="1" applyAlignment="1">
      <alignment horizontal="center" vertical="center"/>
    </xf>
    <xf numFmtId="9" fontId="6" fillId="0" borderId="3" xfId="2" applyFont="1" applyFill="1" applyBorder="1" applyAlignment="1">
      <alignment vertical="center"/>
    </xf>
    <xf numFmtId="10" fontId="6" fillId="0" borderId="3" xfId="2" applyNumberFormat="1" applyFont="1" applyFill="1" applyBorder="1" applyAlignment="1">
      <alignment vertical="center"/>
    </xf>
    <xf numFmtId="1" fontId="6" fillId="0" borderId="3" xfId="0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horizontal="center" vertical="center" wrapText="1"/>
    </xf>
    <xf numFmtId="9" fontId="6" fillId="0" borderId="3" xfId="2" applyNumberFormat="1" applyFont="1" applyFill="1" applyBorder="1" applyAlignment="1">
      <alignment vertical="center"/>
    </xf>
    <xf numFmtId="169" fontId="6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6" fillId="0" borderId="1" xfId="2" applyNumberFormat="1" applyFont="1" applyFill="1" applyBorder="1" applyAlignment="1">
      <alignment horizontal="center" vertical="center"/>
    </xf>
    <xf numFmtId="43" fontId="6" fillId="2" borderId="2" xfId="1" applyFont="1" applyFill="1" applyBorder="1"/>
    <xf numFmtId="167" fontId="6" fillId="2" borderId="2" xfId="1" applyNumberFormat="1" applyFont="1" applyFill="1" applyBorder="1"/>
    <xf numFmtId="0" fontId="6" fillId="2" borderId="2" xfId="1" applyNumberFormat="1" applyFont="1" applyFill="1" applyBorder="1"/>
    <xf numFmtId="167" fontId="6" fillId="2" borderId="3" xfId="1" applyNumberFormat="1" applyFont="1" applyFill="1" applyBorder="1"/>
    <xf numFmtId="43" fontId="6" fillId="2" borderId="2" xfId="1" applyNumberFormat="1" applyFont="1" applyFill="1" applyBorder="1"/>
    <xf numFmtId="0" fontId="6" fillId="0" borderId="2" xfId="0" applyFont="1" applyBorder="1" applyProtection="1"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122"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b/>
        <i val="0"/>
        <strike val="0"/>
        <color rgb="FFFFFF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EE1B-1757-490D-9565-FB54FD57967C}">
  <dimension ref="A1:V52"/>
  <sheetViews>
    <sheetView workbookViewId="0">
      <selection activeCell="L12" sqref="L12"/>
    </sheetView>
  </sheetViews>
  <sheetFormatPr defaultColWidth="9.140625" defaultRowHeight="15" x14ac:dyDescent="0.25"/>
  <cols>
    <col min="1" max="3" width="8" style="47" customWidth="1"/>
    <col min="4" max="4" width="8" customWidth="1"/>
    <col min="5" max="5" width="71.7109375" customWidth="1"/>
    <col min="6" max="7" width="12.28515625" customWidth="1"/>
    <col min="8" max="8" width="13.5703125" customWidth="1"/>
    <col min="9" max="9" width="10.42578125" customWidth="1"/>
    <col min="10" max="10" width="14.5703125" customWidth="1"/>
    <col min="11" max="11" width="9.42578125" customWidth="1"/>
    <col min="12" max="12" width="10.140625" style="16" customWidth="1"/>
    <col min="13" max="13" width="6.28515625" customWidth="1"/>
    <col min="14" max="15" width="11" customWidth="1"/>
  </cols>
  <sheetData>
    <row r="1" spans="1:15" ht="18.75" x14ac:dyDescent="0.3">
      <c r="E1" s="1" t="s">
        <v>61</v>
      </c>
      <c r="F1" s="76" t="s">
        <v>0</v>
      </c>
      <c r="G1" s="76"/>
      <c r="H1" s="2"/>
    </row>
    <row r="2" spans="1:15" x14ac:dyDescent="0.25">
      <c r="E2" t="s">
        <v>1</v>
      </c>
      <c r="F2" s="76" t="s">
        <v>2</v>
      </c>
      <c r="G2" s="76"/>
      <c r="H2" s="2"/>
    </row>
    <row r="3" spans="1:15" x14ac:dyDescent="0.25">
      <c r="E3" t="s">
        <v>62</v>
      </c>
      <c r="F3" s="76" t="s">
        <v>3</v>
      </c>
      <c r="G3" s="76"/>
      <c r="H3" s="2"/>
    </row>
    <row r="4" spans="1:15" x14ac:dyDescent="0.25">
      <c r="F4" s="3"/>
      <c r="G4" s="3"/>
    </row>
    <row r="5" spans="1:15" ht="35.25" customHeight="1" x14ac:dyDescent="0.25">
      <c r="A5" s="71" t="s">
        <v>83</v>
      </c>
      <c r="B5" s="71" t="s">
        <v>83</v>
      </c>
      <c r="C5" s="26"/>
      <c r="D5" s="71" t="s">
        <v>4</v>
      </c>
      <c r="E5" s="71" t="s">
        <v>5</v>
      </c>
      <c r="F5" s="71" t="s">
        <v>6</v>
      </c>
      <c r="G5" s="71" t="s">
        <v>7</v>
      </c>
      <c r="H5" s="71" t="s">
        <v>8</v>
      </c>
      <c r="I5" s="71" t="s">
        <v>9</v>
      </c>
      <c r="J5" s="71"/>
      <c r="K5" s="71"/>
      <c r="L5" s="77" t="s">
        <v>64</v>
      </c>
      <c r="N5" s="71" t="s">
        <v>10</v>
      </c>
      <c r="O5" s="71" t="s">
        <v>11</v>
      </c>
    </row>
    <row r="6" spans="1:15" ht="56.25" x14ac:dyDescent="0.25">
      <c r="A6" s="71"/>
      <c r="B6" s="71"/>
      <c r="C6" s="26"/>
      <c r="D6" s="71"/>
      <c r="E6" s="71"/>
      <c r="F6" s="71"/>
      <c r="G6" s="71"/>
      <c r="H6" s="71"/>
      <c r="I6" s="4" t="s">
        <v>12</v>
      </c>
      <c r="J6" s="4" t="s">
        <v>13</v>
      </c>
      <c r="K6" s="4" t="s">
        <v>14</v>
      </c>
      <c r="L6" s="77"/>
      <c r="N6" s="71"/>
      <c r="O6" s="71"/>
    </row>
    <row r="7" spans="1:15" x14ac:dyDescent="0.25">
      <c r="A7" s="48"/>
      <c r="B7" s="48"/>
      <c r="C7" s="48"/>
      <c r="D7" s="5" t="s">
        <v>15</v>
      </c>
      <c r="E7" s="5" t="s">
        <v>16</v>
      </c>
      <c r="F7" s="30">
        <f>+G7+H7</f>
        <v>0</v>
      </c>
      <c r="G7" s="20">
        <v>0</v>
      </c>
      <c r="H7" s="30">
        <f>+I7+J7+K7</f>
        <v>0</v>
      </c>
      <c r="I7" s="7">
        <v>0</v>
      </c>
      <c r="J7" s="7">
        <v>0</v>
      </c>
      <c r="K7" s="7">
        <v>0</v>
      </c>
      <c r="L7" s="17">
        <v>0</v>
      </c>
      <c r="N7" s="8">
        <f>+G7</f>
        <v>0</v>
      </c>
      <c r="O7" s="8">
        <f>+K7</f>
        <v>0</v>
      </c>
    </row>
    <row r="8" spans="1:15" x14ac:dyDescent="0.25">
      <c r="A8" s="48"/>
      <c r="B8" s="48"/>
      <c r="C8" s="48"/>
      <c r="D8" s="5" t="s">
        <v>15</v>
      </c>
      <c r="E8" s="5" t="s">
        <v>17</v>
      </c>
      <c r="F8" s="30">
        <f>+G8+H8</f>
        <v>121</v>
      </c>
      <c r="G8" s="20">
        <f>43+4+55+1+8</f>
        <v>111</v>
      </c>
      <c r="H8" s="30">
        <f>+I8+J8+K8</f>
        <v>10</v>
      </c>
      <c r="I8" s="7">
        <v>0</v>
      </c>
      <c r="J8" s="7">
        <v>0</v>
      </c>
      <c r="K8" s="7">
        <f>2+6+1+1</f>
        <v>10</v>
      </c>
      <c r="L8" s="19">
        <f>(45*9+8*4+61*7+2*9+9*6)/F8</f>
        <v>7.7355371900826446</v>
      </c>
      <c r="N8" s="8">
        <f t="shared" ref="N8:N34" si="0">+G8</f>
        <v>111</v>
      </c>
      <c r="O8" s="8">
        <f t="shared" ref="O8:O34" si="1">+K8</f>
        <v>10</v>
      </c>
    </row>
    <row r="9" spans="1:15" x14ac:dyDescent="0.25">
      <c r="A9" s="48"/>
      <c r="B9" s="48"/>
      <c r="C9" s="48"/>
      <c r="D9" s="5" t="s">
        <v>15</v>
      </c>
      <c r="E9" s="5" t="s">
        <v>18</v>
      </c>
      <c r="F9" s="30">
        <f>+G9+H9</f>
        <v>0</v>
      </c>
      <c r="G9" s="20">
        <v>0</v>
      </c>
      <c r="H9" s="30">
        <f>+I9+J9+K9</f>
        <v>0</v>
      </c>
      <c r="I9" s="7">
        <v>0</v>
      </c>
      <c r="J9" s="7">
        <v>0</v>
      </c>
      <c r="K9" s="7">
        <v>0</v>
      </c>
      <c r="L9" s="17">
        <v>0</v>
      </c>
      <c r="N9" s="8">
        <f t="shared" si="0"/>
        <v>0</v>
      </c>
      <c r="O9" s="8">
        <f t="shared" si="1"/>
        <v>0</v>
      </c>
    </row>
    <row r="10" spans="1:15" x14ac:dyDescent="0.25">
      <c r="A10" s="48"/>
      <c r="B10" s="48"/>
      <c r="C10" s="48"/>
      <c r="D10" s="5" t="s">
        <v>15</v>
      </c>
      <c r="E10" s="5" t="s">
        <v>19</v>
      </c>
      <c r="F10" s="30">
        <f>+G10+H10</f>
        <v>377</v>
      </c>
      <c r="G10" s="20">
        <f>96+1+35+175+9+59</f>
        <v>375</v>
      </c>
      <c r="H10" s="30">
        <f>+I10+J10+K10</f>
        <v>2</v>
      </c>
      <c r="I10" s="7">
        <v>0</v>
      </c>
      <c r="J10" s="7">
        <v>0</v>
      </c>
      <c r="K10" s="7">
        <f>1+1</f>
        <v>2</v>
      </c>
      <c r="L10" s="19">
        <f>++(97*7+1*6+35*5+175*6+9*5+60*8)/F10</f>
        <v>6.4588859416445628</v>
      </c>
      <c r="N10" s="8">
        <f t="shared" si="0"/>
        <v>375</v>
      </c>
      <c r="O10" s="8">
        <f t="shared" si="1"/>
        <v>2</v>
      </c>
    </row>
    <row r="11" spans="1:15" x14ac:dyDescent="0.25">
      <c r="A11" s="48"/>
      <c r="B11" s="48"/>
      <c r="C11" s="48"/>
      <c r="D11" s="5" t="s">
        <v>15</v>
      </c>
      <c r="E11" s="5" t="s">
        <v>20</v>
      </c>
      <c r="F11" s="30">
        <f t="shared" ref="F11:F48" si="2">+G11+H11</f>
        <v>0</v>
      </c>
      <c r="G11" s="20">
        <v>0</v>
      </c>
      <c r="H11" s="30">
        <f t="shared" ref="H11:H48" si="3">+I11+J11+K11</f>
        <v>0</v>
      </c>
      <c r="I11" s="7">
        <v>0</v>
      </c>
      <c r="J11" s="7">
        <v>0</v>
      </c>
      <c r="K11" s="7">
        <v>0</v>
      </c>
      <c r="L11" s="17">
        <v>0</v>
      </c>
      <c r="N11" s="8">
        <f t="shared" si="0"/>
        <v>0</v>
      </c>
      <c r="O11" s="8">
        <f t="shared" si="1"/>
        <v>0</v>
      </c>
    </row>
    <row r="12" spans="1:15" x14ac:dyDescent="0.25">
      <c r="A12" s="48"/>
      <c r="B12" s="48"/>
      <c r="C12" s="48"/>
      <c r="D12" s="5" t="s">
        <v>15</v>
      </c>
      <c r="E12" s="5" t="s">
        <v>21</v>
      </c>
      <c r="F12" s="30">
        <f t="shared" si="2"/>
        <v>226</v>
      </c>
      <c r="G12" s="20">
        <f>35+10+143+36</f>
        <v>224</v>
      </c>
      <c r="H12" s="30">
        <f t="shared" si="3"/>
        <v>2</v>
      </c>
      <c r="I12" s="7">
        <v>0</v>
      </c>
      <c r="J12" s="7">
        <v>0</v>
      </c>
      <c r="K12" s="7">
        <v>2</v>
      </c>
      <c r="L12" s="19">
        <f>+(35*7+10*6+144*7+37*5)/F12</f>
        <v>6.6283185840707963</v>
      </c>
      <c r="N12" s="8">
        <f t="shared" si="0"/>
        <v>224</v>
      </c>
      <c r="O12" s="8">
        <f t="shared" si="1"/>
        <v>2</v>
      </c>
    </row>
    <row r="13" spans="1:15" x14ac:dyDescent="0.25">
      <c r="A13" s="48"/>
      <c r="B13" s="48"/>
      <c r="C13" s="48"/>
      <c r="D13" s="5" t="s">
        <v>15</v>
      </c>
      <c r="E13" s="5" t="s">
        <v>22</v>
      </c>
      <c r="F13" s="30">
        <f>+G13+H13</f>
        <v>0</v>
      </c>
      <c r="G13" s="20">
        <v>0</v>
      </c>
      <c r="H13" s="30">
        <f>+I13+J13+K13</f>
        <v>0</v>
      </c>
      <c r="I13" s="7">
        <v>0</v>
      </c>
      <c r="J13" s="7">
        <v>0</v>
      </c>
      <c r="K13" s="7">
        <v>0</v>
      </c>
      <c r="L13" s="17">
        <v>0</v>
      </c>
      <c r="N13" s="8">
        <f t="shared" si="0"/>
        <v>0</v>
      </c>
      <c r="O13" s="8">
        <f t="shared" si="1"/>
        <v>0</v>
      </c>
    </row>
    <row r="14" spans="1:15" x14ac:dyDescent="0.25">
      <c r="A14" s="48"/>
      <c r="B14" s="48"/>
      <c r="C14" s="48"/>
      <c r="D14" s="5" t="s">
        <v>15</v>
      </c>
      <c r="E14" s="5" t="s">
        <v>23</v>
      </c>
      <c r="F14" s="30">
        <f t="shared" si="2"/>
        <v>0</v>
      </c>
      <c r="G14" s="20">
        <v>0</v>
      </c>
      <c r="H14" s="30">
        <f t="shared" si="3"/>
        <v>0</v>
      </c>
      <c r="I14" s="7">
        <v>0</v>
      </c>
      <c r="J14" s="7">
        <v>0</v>
      </c>
      <c r="K14" s="7">
        <v>0</v>
      </c>
      <c r="L14" s="17">
        <v>0</v>
      </c>
      <c r="N14" s="8">
        <f t="shared" si="0"/>
        <v>0</v>
      </c>
      <c r="O14" s="8">
        <f t="shared" si="1"/>
        <v>0</v>
      </c>
    </row>
    <row r="15" spans="1:15" x14ac:dyDescent="0.25">
      <c r="A15" s="48"/>
      <c r="B15" s="48"/>
      <c r="C15" s="48"/>
      <c r="D15" s="5" t="s">
        <v>15</v>
      </c>
      <c r="E15" s="5" t="s">
        <v>24</v>
      </c>
      <c r="F15" s="30">
        <f>+G15+H15</f>
        <v>110</v>
      </c>
      <c r="G15" s="20">
        <f>+(4+3)+(74+26)</f>
        <v>107</v>
      </c>
      <c r="H15" s="30">
        <f>+I15+J15+K15</f>
        <v>3</v>
      </c>
      <c r="I15" s="7">
        <v>0</v>
      </c>
      <c r="J15" s="7">
        <v>0</v>
      </c>
      <c r="K15" s="7">
        <f>2+1</f>
        <v>3</v>
      </c>
      <c r="L15" s="19">
        <f>+(76*6+27*6+3*7+4*7)/F15</f>
        <v>6.0636363636363635</v>
      </c>
      <c r="N15" s="8">
        <f t="shared" si="0"/>
        <v>107</v>
      </c>
      <c r="O15" s="8">
        <f t="shared" si="1"/>
        <v>3</v>
      </c>
    </row>
    <row r="16" spans="1:15" x14ac:dyDescent="0.25">
      <c r="A16" s="48" t="s">
        <v>81</v>
      </c>
      <c r="B16" s="48">
        <v>90</v>
      </c>
      <c r="C16" s="51">
        <f>1-H16/F16</f>
        <v>0.96170212765957452</v>
      </c>
      <c r="D16" s="5" t="s">
        <v>15</v>
      </c>
      <c r="E16" s="5" t="s">
        <v>25</v>
      </c>
      <c r="F16" s="30">
        <f>+G16+H16</f>
        <v>235</v>
      </c>
      <c r="G16" s="20">
        <f>90+7+36+74+1+18</f>
        <v>226</v>
      </c>
      <c r="H16" s="30">
        <f>+I16+J16+K16</f>
        <v>9</v>
      </c>
      <c r="I16" s="7">
        <v>0</v>
      </c>
      <c r="J16" s="7">
        <v>0</v>
      </c>
      <c r="K16" s="7">
        <f>6+3</f>
        <v>9</v>
      </c>
      <c r="L16" s="19">
        <f>+(96*14+7*10+39*18+74*15+1*7+18*12)/F16</f>
        <v>14.676595744680851</v>
      </c>
      <c r="N16" s="8">
        <f t="shared" si="0"/>
        <v>226</v>
      </c>
      <c r="O16" s="8">
        <f t="shared" si="1"/>
        <v>9</v>
      </c>
    </row>
    <row r="17" spans="1:15" x14ac:dyDescent="0.25">
      <c r="A17" s="48" t="s">
        <v>81</v>
      </c>
      <c r="B17" s="48">
        <v>90</v>
      </c>
      <c r="C17" s="51">
        <f t="shared" ref="C17:C48" si="4">1-H17/F17</f>
        <v>0.9263157894736842</v>
      </c>
      <c r="D17" s="5" t="s">
        <v>15</v>
      </c>
      <c r="E17" s="5" t="s">
        <v>26</v>
      </c>
      <c r="F17" s="30">
        <f t="shared" si="2"/>
        <v>95</v>
      </c>
      <c r="G17" s="20">
        <f>48+2+7+27+4</f>
        <v>88</v>
      </c>
      <c r="H17" s="30">
        <f t="shared" si="3"/>
        <v>7</v>
      </c>
      <c r="I17" s="7">
        <v>0</v>
      </c>
      <c r="J17" s="7">
        <v>0</v>
      </c>
      <c r="K17" s="7">
        <f>5+2</f>
        <v>7</v>
      </c>
      <c r="L17" s="19">
        <f>+((53*26+2*24+7*15)+(27*12+4*13))/((53+2+7)+(27+4))</f>
        <v>20.50537634408602</v>
      </c>
      <c r="N17" s="8">
        <f t="shared" si="0"/>
        <v>88</v>
      </c>
      <c r="O17" s="8">
        <f t="shared" si="1"/>
        <v>7</v>
      </c>
    </row>
    <row r="18" spans="1:15" x14ac:dyDescent="0.25">
      <c r="A18" s="48" t="s">
        <v>81</v>
      </c>
      <c r="B18" s="48">
        <v>90</v>
      </c>
      <c r="C18" s="51">
        <f t="shared" si="4"/>
        <v>1</v>
      </c>
      <c r="D18" s="5" t="s">
        <v>15</v>
      </c>
      <c r="E18" s="5" t="s">
        <v>27</v>
      </c>
      <c r="F18" s="30">
        <f t="shared" si="2"/>
        <v>88</v>
      </c>
      <c r="G18" s="20">
        <f>57+12+15+4</f>
        <v>88</v>
      </c>
      <c r="H18" s="30">
        <f t="shared" si="3"/>
        <v>0</v>
      </c>
      <c r="I18" s="7">
        <v>0</v>
      </c>
      <c r="J18" s="7">
        <v>0</v>
      </c>
      <c r="K18" s="7">
        <v>0</v>
      </c>
      <c r="L18" s="19">
        <f>+(57*12+12*16+15*24+4*18)/F18</f>
        <v>14.863636363636363</v>
      </c>
      <c r="N18" s="8">
        <f t="shared" si="0"/>
        <v>88</v>
      </c>
      <c r="O18" s="8">
        <f t="shared" si="1"/>
        <v>0</v>
      </c>
    </row>
    <row r="19" spans="1:15" x14ac:dyDescent="0.25">
      <c r="A19" s="48"/>
      <c r="B19" s="48"/>
      <c r="C19" s="51"/>
      <c r="D19" s="5" t="s">
        <v>15</v>
      </c>
      <c r="E19" s="5" t="s">
        <v>28</v>
      </c>
      <c r="F19" s="30">
        <f t="shared" si="2"/>
        <v>654</v>
      </c>
      <c r="G19" s="20">
        <f>+(436+10+105)+(76+1+18)</f>
        <v>646</v>
      </c>
      <c r="H19" s="30">
        <f t="shared" si="3"/>
        <v>8</v>
      </c>
      <c r="I19" s="7">
        <v>0</v>
      </c>
      <c r="J19" s="7">
        <v>0</v>
      </c>
      <c r="K19" s="7">
        <f>+(7+1)+(0)</f>
        <v>8</v>
      </c>
      <c r="L19" s="19">
        <f>(2*443+1*10+2*106+76*0+1*0+18*0)/F19</f>
        <v>1.6941896024464831</v>
      </c>
      <c r="N19" s="8">
        <f t="shared" si="0"/>
        <v>646</v>
      </c>
      <c r="O19" s="8">
        <f t="shared" si="1"/>
        <v>8</v>
      </c>
    </row>
    <row r="20" spans="1:15" x14ac:dyDescent="0.25">
      <c r="A20" s="48"/>
      <c r="B20" s="48"/>
      <c r="C20" s="51"/>
      <c r="D20" s="5" t="s">
        <v>15</v>
      </c>
      <c r="E20" s="5" t="s">
        <v>29</v>
      </c>
      <c r="F20" s="30">
        <f>+G20+H20</f>
        <v>923</v>
      </c>
      <c r="G20" s="20">
        <f>+(463+2+70)+(321+2+61)</f>
        <v>919</v>
      </c>
      <c r="H20" s="30">
        <f>+I20+J20+K20</f>
        <v>4</v>
      </c>
      <c r="I20" s="7">
        <v>0</v>
      </c>
      <c r="J20" s="7">
        <v>0</v>
      </c>
      <c r="K20" s="7">
        <f>+(1+0+0)+(2+0+1)</f>
        <v>4</v>
      </c>
      <c r="L20" s="19">
        <f>+((464*3+2*2+70*3)+(323*2+2*3+62*2))/F20</f>
        <v>2.5807150595882988</v>
      </c>
      <c r="N20" s="8">
        <f t="shared" si="0"/>
        <v>919</v>
      </c>
      <c r="O20" s="8">
        <f t="shared" si="1"/>
        <v>4</v>
      </c>
    </row>
    <row r="21" spans="1:15" x14ac:dyDescent="0.25">
      <c r="A21" s="48"/>
      <c r="B21" s="48"/>
      <c r="C21" s="51"/>
      <c r="D21" s="5" t="s">
        <v>15</v>
      </c>
      <c r="E21" s="5" t="s">
        <v>30</v>
      </c>
      <c r="F21" s="30">
        <f>+G21+H21</f>
        <v>0</v>
      </c>
      <c r="G21" s="20">
        <v>0</v>
      </c>
      <c r="H21" s="30">
        <f>+I21+J21+K21</f>
        <v>0</v>
      </c>
      <c r="I21" s="7">
        <v>0</v>
      </c>
      <c r="J21" s="7">
        <v>0</v>
      </c>
      <c r="K21" s="7">
        <v>0</v>
      </c>
      <c r="L21" s="17">
        <v>0</v>
      </c>
      <c r="N21" s="8">
        <f t="shared" si="0"/>
        <v>0</v>
      </c>
      <c r="O21" s="8">
        <f t="shared" si="1"/>
        <v>0</v>
      </c>
    </row>
    <row r="22" spans="1:15" x14ac:dyDescent="0.25">
      <c r="A22" s="48"/>
      <c r="B22" s="48"/>
      <c r="C22" s="51"/>
      <c r="D22" s="5" t="s">
        <v>15</v>
      </c>
      <c r="E22" s="5" t="s">
        <v>31</v>
      </c>
      <c r="F22" s="30">
        <f>+G22+H22</f>
        <v>38</v>
      </c>
      <c r="G22" s="20">
        <f>+(28+5)+3</f>
        <v>36</v>
      </c>
      <c r="H22" s="30">
        <f>+I22+J22+K22</f>
        <v>2</v>
      </c>
      <c r="I22" s="7">
        <v>0</v>
      </c>
      <c r="J22" s="7">
        <v>0</v>
      </c>
      <c r="K22" s="7">
        <f>1+1</f>
        <v>2</v>
      </c>
      <c r="L22" s="19">
        <f>+(29*2+5*0+4*2)/F22</f>
        <v>1.736842105263158</v>
      </c>
      <c r="N22" s="8">
        <f t="shared" si="0"/>
        <v>36</v>
      </c>
      <c r="O22" s="8">
        <f t="shared" si="1"/>
        <v>2</v>
      </c>
    </row>
    <row r="23" spans="1:15" x14ac:dyDescent="0.25">
      <c r="A23" s="48"/>
      <c r="B23" s="48"/>
      <c r="C23" s="51"/>
      <c r="D23" s="5" t="s">
        <v>15</v>
      </c>
      <c r="E23" s="5" t="s">
        <v>32</v>
      </c>
      <c r="F23" s="30">
        <f t="shared" si="2"/>
        <v>1184</v>
      </c>
      <c r="G23" s="20">
        <f>+(678+1+112)+(315+47+16)</f>
        <v>1169</v>
      </c>
      <c r="H23" s="30">
        <f t="shared" si="3"/>
        <v>15</v>
      </c>
      <c r="I23" s="7">
        <v>0</v>
      </c>
      <c r="J23" s="7">
        <v>0</v>
      </c>
      <c r="K23" s="7">
        <f>+(3+0+0)+(11+1+0)</f>
        <v>15</v>
      </c>
      <c r="L23" s="19">
        <f>+(((681+1+112)*3+(326+48+16))*3)/F23</f>
        <v>7.0236486486486482</v>
      </c>
      <c r="N23" s="8">
        <f t="shared" si="0"/>
        <v>1169</v>
      </c>
      <c r="O23" s="8">
        <f t="shared" si="1"/>
        <v>15</v>
      </c>
    </row>
    <row r="24" spans="1:15" x14ac:dyDescent="0.25">
      <c r="A24" s="48"/>
      <c r="B24" s="48"/>
      <c r="C24" s="51"/>
      <c r="D24" s="5" t="s">
        <v>15</v>
      </c>
      <c r="E24" s="5" t="s">
        <v>33</v>
      </c>
      <c r="F24" s="30">
        <f t="shared" si="2"/>
        <v>4136</v>
      </c>
      <c r="G24" s="20">
        <f>+(2254+4+181)+(1461+55+181)</f>
        <v>4136</v>
      </c>
      <c r="H24" s="30">
        <f t="shared" si="3"/>
        <v>0</v>
      </c>
      <c r="I24" s="7">
        <v>0</v>
      </c>
      <c r="J24" s="7">
        <v>0</v>
      </c>
      <c r="K24" s="7">
        <v>0</v>
      </c>
      <c r="L24" s="24">
        <v>0</v>
      </c>
      <c r="N24" s="8">
        <f t="shared" si="0"/>
        <v>4136</v>
      </c>
      <c r="O24" s="8">
        <f t="shared" si="1"/>
        <v>0</v>
      </c>
    </row>
    <row r="25" spans="1:15" x14ac:dyDescent="0.25">
      <c r="A25" s="48" t="s">
        <v>81</v>
      </c>
      <c r="B25" s="48">
        <v>90</v>
      </c>
      <c r="C25" s="51">
        <f t="shared" si="4"/>
        <v>0.96711509715994026</v>
      </c>
      <c r="D25" s="5" t="s">
        <v>34</v>
      </c>
      <c r="E25" s="5" t="s">
        <v>35</v>
      </c>
      <c r="F25" s="30">
        <f t="shared" ref="F25:F32" si="5">+G25+H25</f>
        <v>669</v>
      </c>
      <c r="G25" s="20">
        <f>+(256+9+89)+(227+1+65)</f>
        <v>647</v>
      </c>
      <c r="H25" s="30">
        <f>+I25+J25+K25</f>
        <v>22</v>
      </c>
      <c r="I25" s="7">
        <v>0</v>
      </c>
      <c r="J25" s="7">
        <v>0</v>
      </c>
      <c r="K25" s="7">
        <f>+(7+4)+(9+2)</f>
        <v>22</v>
      </c>
      <c r="L25" s="19">
        <f>+(4*236+4*1+4*67+4*263+3*9+5*93)/F25</f>
        <v>4.1255605381165923</v>
      </c>
      <c r="N25" s="8">
        <f t="shared" si="0"/>
        <v>647</v>
      </c>
      <c r="O25" s="8">
        <f t="shared" si="1"/>
        <v>22</v>
      </c>
    </row>
    <row r="26" spans="1:15" x14ac:dyDescent="0.25">
      <c r="A26" s="48" t="s">
        <v>81</v>
      </c>
      <c r="B26" s="48" t="s">
        <v>82</v>
      </c>
      <c r="C26" s="51"/>
      <c r="D26" s="5" t="s">
        <v>34</v>
      </c>
      <c r="E26" s="5" t="s">
        <v>36</v>
      </c>
      <c r="F26" s="30">
        <f t="shared" si="5"/>
        <v>0</v>
      </c>
      <c r="G26" s="20">
        <v>0</v>
      </c>
      <c r="H26" s="30">
        <f>+I26+J26+K26</f>
        <v>0</v>
      </c>
      <c r="I26" s="7">
        <v>0</v>
      </c>
      <c r="J26" s="7">
        <v>0</v>
      </c>
      <c r="K26" s="7">
        <v>0</v>
      </c>
      <c r="L26" s="19">
        <v>0</v>
      </c>
      <c r="N26" s="8">
        <f t="shared" si="0"/>
        <v>0</v>
      </c>
      <c r="O26" s="8">
        <f t="shared" si="1"/>
        <v>0</v>
      </c>
    </row>
    <row r="27" spans="1:15" x14ac:dyDescent="0.25">
      <c r="A27" s="49"/>
      <c r="B27" s="49"/>
      <c r="C27" s="51"/>
      <c r="D27" s="9" t="s">
        <v>34</v>
      </c>
      <c r="E27" s="9" t="s">
        <v>37</v>
      </c>
      <c r="F27" s="30">
        <f t="shared" si="5"/>
        <v>669</v>
      </c>
      <c r="G27" s="20">
        <f>+(263+9+93)+(236+1+66)</f>
        <v>668</v>
      </c>
      <c r="H27" s="30">
        <f t="shared" si="3"/>
        <v>1</v>
      </c>
      <c r="I27" s="7">
        <v>0</v>
      </c>
      <c r="J27" s="7">
        <v>0</v>
      </c>
      <c r="K27" s="7">
        <v>1</v>
      </c>
      <c r="L27" s="21">
        <f>+((1.25*263)+(1.28*9)+(1.27*93)+(1.25*236)+(0*1)+(1*67))/F27</f>
        <v>1.2262780269058295</v>
      </c>
      <c r="N27" s="8">
        <f t="shared" si="0"/>
        <v>668</v>
      </c>
      <c r="O27" s="8">
        <f t="shared" si="1"/>
        <v>1</v>
      </c>
    </row>
    <row r="28" spans="1:15" x14ac:dyDescent="0.25">
      <c r="A28" s="48"/>
      <c r="B28" s="48"/>
      <c r="C28" s="51"/>
      <c r="D28" s="5" t="s">
        <v>34</v>
      </c>
      <c r="E28" s="5" t="s">
        <v>38</v>
      </c>
      <c r="F28" s="30">
        <f t="shared" si="5"/>
        <v>14</v>
      </c>
      <c r="G28" s="20">
        <f>8+2+1+2</f>
        <v>13</v>
      </c>
      <c r="H28" s="30">
        <f>+I28+J28+K28</f>
        <v>1</v>
      </c>
      <c r="I28" s="7">
        <v>0</v>
      </c>
      <c r="J28" s="7">
        <v>0</v>
      </c>
      <c r="K28" s="7">
        <v>1</v>
      </c>
      <c r="L28" s="19">
        <f>+((8*4+2*3+1*29)+(3*9))/F28</f>
        <v>6.7142857142857144</v>
      </c>
      <c r="N28" s="8">
        <f t="shared" si="0"/>
        <v>13</v>
      </c>
      <c r="O28" s="8">
        <f t="shared" si="1"/>
        <v>1</v>
      </c>
    </row>
    <row r="29" spans="1:15" x14ac:dyDescent="0.25">
      <c r="A29" s="48"/>
      <c r="B29" s="48"/>
      <c r="C29" s="51"/>
      <c r="D29" s="5" t="s">
        <v>34</v>
      </c>
      <c r="E29" s="5" t="s">
        <v>39</v>
      </c>
      <c r="F29" s="30">
        <f t="shared" si="5"/>
        <v>11</v>
      </c>
      <c r="G29" s="20">
        <f>2+7</f>
        <v>9</v>
      </c>
      <c r="H29" s="30">
        <f>+I29+J29+K29</f>
        <v>2</v>
      </c>
      <c r="I29" s="7">
        <v>0</v>
      </c>
      <c r="J29" s="7">
        <v>0</v>
      </c>
      <c r="K29" s="7">
        <v>2</v>
      </c>
      <c r="L29" s="19">
        <f>(4*22+7*0)/F29</f>
        <v>8</v>
      </c>
      <c r="N29" s="8">
        <f t="shared" si="0"/>
        <v>9</v>
      </c>
      <c r="O29" s="8">
        <f t="shared" si="1"/>
        <v>2</v>
      </c>
    </row>
    <row r="30" spans="1:15" x14ac:dyDescent="0.25">
      <c r="A30" s="48"/>
      <c r="B30" s="48"/>
      <c r="C30" s="51"/>
      <c r="D30" s="5" t="s">
        <v>34</v>
      </c>
      <c r="E30" s="5" t="s">
        <v>40</v>
      </c>
      <c r="F30" s="30">
        <f t="shared" si="5"/>
        <v>1</v>
      </c>
      <c r="G30" s="20">
        <v>1</v>
      </c>
      <c r="H30" s="30">
        <f>+I30+J30+K30</f>
        <v>0</v>
      </c>
      <c r="I30" s="7">
        <v>0</v>
      </c>
      <c r="J30" s="7">
        <v>0</v>
      </c>
      <c r="K30" s="7">
        <v>0</v>
      </c>
      <c r="L30" s="19">
        <v>20</v>
      </c>
      <c r="N30" s="8">
        <f t="shared" si="0"/>
        <v>1</v>
      </c>
      <c r="O30" s="8">
        <f t="shared" si="1"/>
        <v>0</v>
      </c>
    </row>
    <row r="31" spans="1:15" x14ac:dyDescent="0.25">
      <c r="A31" s="48"/>
      <c r="B31" s="48"/>
      <c r="C31" s="51"/>
      <c r="D31" s="5" t="s">
        <v>34</v>
      </c>
      <c r="E31" s="5" t="s">
        <v>41</v>
      </c>
      <c r="F31" s="30">
        <f t="shared" si="5"/>
        <v>3</v>
      </c>
      <c r="G31" s="20">
        <v>3</v>
      </c>
      <c r="H31" s="30">
        <f>+I31+J31+K31</f>
        <v>0</v>
      </c>
      <c r="I31" s="7">
        <v>0</v>
      </c>
      <c r="J31" s="7">
        <v>0</v>
      </c>
      <c r="K31" s="7">
        <v>0</v>
      </c>
      <c r="L31" s="24">
        <v>0</v>
      </c>
      <c r="N31" s="8">
        <f t="shared" si="0"/>
        <v>3</v>
      </c>
      <c r="O31" s="8">
        <f t="shared" si="1"/>
        <v>0</v>
      </c>
    </row>
    <row r="32" spans="1:15" x14ac:dyDescent="0.25">
      <c r="A32" s="48"/>
      <c r="B32" s="48"/>
      <c r="C32" s="51"/>
      <c r="D32" s="5" t="s">
        <v>34</v>
      </c>
      <c r="E32" s="5" t="s">
        <v>42</v>
      </c>
      <c r="F32" s="30">
        <f t="shared" si="5"/>
        <v>0</v>
      </c>
      <c r="G32" s="20">
        <v>0</v>
      </c>
      <c r="H32" s="30">
        <f>+I32+J32+K32</f>
        <v>0</v>
      </c>
      <c r="I32" s="7">
        <v>0</v>
      </c>
      <c r="J32" s="7">
        <v>0</v>
      </c>
      <c r="K32" s="7">
        <v>0</v>
      </c>
      <c r="L32" s="17">
        <v>0</v>
      </c>
      <c r="N32" s="8">
        <f t="shared" si="0"/>
        <v>0</v>
      </c>
      <c r="O32" s="8">
        <f t="shared" si="1"/>
        <v>0</v>
      </c>
    </row>
    <row r="33" spans="1:22" x14ac:dyDescent="0.25">
      <c r="A33" s="48"/>
      <c r="B33" s="48"/>
      <c r="C33" s="51"/>
      <c r="D33" s="5" t="s">
        <v>34</v>
      </c>
      <c r="E33" s="5" t="s">
        <v>43</v>
      </c>
      <c r="F33" s="30">
        <f t="shared" si="2"/>
        <v>0</v>
      </c>
      <c r="G33" s="20">
        <v>0</v>
      </c>
      <c r="H33" s="30">
        <f t="shared" si="3"/>
        <v>0</v>
      </c>
      <c r="I33" s="7">
        <v>0</v>
      </c>
      <c r="J33" s="7">
        <v>0</v>
      </c>
      <c r="K33" s="7">
        <v>0</v>
      </c>
      <c r="L33" s="17">
        <v>0</v>
      </c>
      <c r="N33" s="8">
        <f t="shared" si="0"/>
        <v>0</v>
      </c>
      <c r="O33" s="8">
        <f t="shared" si="1"/>
        <v>0</v>
      </c>
    </row>
    <row r="34" spans="1:22" x14ac:dyDescent="0.25">
      <c r="A34" s="48" t="s">
        <v>81</v>
      </c>
      <c r="B34" s="48">
        <v>95</v>
      </c>
      <c r="C34" s="51">
        <f t="shared" si="4"/>
        <v>0.9634831460674157</v>
      </c>
      <c r="D34" s="5" t="s">
        <v>34</v>
      </c>
      <c r="E34" s="5" t="s">
        <v>44</v>
      </c>
      <c r="F34" s="30">
        <f>+G34+H34</f>
        <v>356</v>
      </c>
      <c r="G34" s="20">
        <f>73+7+113+150</f>
        <v>343</v>
      </c>
      <c r="H34" s="30">
        <f>+I34+J34+K34</f>
        <v>13</v>
      </c>
      <c r="I34" s="7">
        <v>0</v>
      </c>
      <c r="J34" s="7">
        <v>0</v>
      </c>
      <c r="K34" s="7">
        <f>1+0+4+8</f>
        <v>13</v>
      </c>
      <c r="L34" s="25">
        <f>+(74*1+8*1.5+117*2+158*1)/F34</f>
        <v>1.3426966292134832</v>
      </c>
      <c r="N34" s="8">
        <f t="shared" si="0"/>
        <v>343</v>
      </c>
      <c r="O34" s="8">
        <f t="shared" si="1"/>
        <v>13</v>
      </c>
    </row>
    <row r="35" spans="1:22" x14ac:dyDescent="0.25">
      <c r="A35" s="48"/>
      <c r="B35" s="48"/>
      <c r="C35" s="51"/>
      <c r="D35" s="5" t="s">
        <v>34</v>
      </c>
      <c r="E35" s="5" t="s">
        <v>45</v>
      </c>
      <c r="F35" s="30">
        <f>+G35+H35</f>
        <v>396474</v>
      </c>
      <c r="G35" s="20">
        <f>161250+2281+65829+207+17069+122167+312</f>
        <v>369115</v>
      </c>
      <c r="H35" s="30">
        <f>+I35+J35+K35</f>
        <v>27359</v>
      </c>
      <c r="I35" s="7">
        <v>0</v>
      </c>
      <c r="J35" s="7">
        <v>0</v>
      </c>
      <c r="K35" s="20">
        <f>9+2+24897+2139+312</f>
        <v>27359</v>
      </c>
      <c r="L35" s="19">
        <f>+(161259*27+2281*30+65831*30+207*25+1962*28+147064*28+19208*36)/F35</f>
        <v>28.417359019759179</v>
      </c>
      <c r="N35" s="8">
        <f>G35*0.001</f>
        <v>369.11500000000001</v>
      </c>
      <c r="O35" s="8">
        <f>K35*0.001</f>
        <v>27.359000000000002</v>
      </c>
    </row>
    <row r="36" spans="1:22" x14ac:dyDescent="0.25">
      <c r="A36" s="48"/>
      <c r="B36" s="48"/>
      <c r="C36" s="51"/>
      <c r="D36" s="5" t="s">
        <v>34</v>
      </c>
      <c r="E36" s="5" t="s">
        <v>46</v>
      </c>
      <c r="F36" s="30">
        <f t="shared" si="2"/>
        <v>59</v>
      </c>
      <c r="G36" s="20">
        <f>32+1+11+13+2</f>
        <v>59</v>
      </c>
      <c r="H36" s="30">
        <f t="shared" si="3"/>
        <v>0</v>
      </c>
      <c r="I36" s="7">
        <v>0</v>
      </c>
      <c r="J36" s="7">
        <v>0</v>
      </c>
      <c r="K36" s="7">
        <v>0</v>
      </c>
      <c r="L36" s="19">
        <f>+(32*24+1*5+11*17+13*8+2*14)/G36</f>
        <v>18.508474576271187</v>
      </c>
      <c r="N36" s="8">
        <f t="shared" ref="N36:N42" si="6">+G36</f>
        <v>59</v>
      </c>
      <c r="O36" s="8">
        <f t="shared" ref="O36:O42" si="7">+K36</f>
        <v>0</v>
      </c>
    </row>
    <row r="37" spans="1:22" x14ac:dyDescent="0.25">
      <c r="A37" s="48"/>
      <c r="B37" s="48"/>
      <c r="C37" s="51"/>
      <c r="D37" s="5" t="s">
        <v>34</v>
      </c>
      <c r="E37" s="5" t="s">
        <v>47</v>
      </c>
      <c r="F37" s="30">
        <f t="shared" si="2"/>
        <v>319</v>
      </c>
      <c r="G37" s="20">
        <f>122+112+63+1+7</f>
        <v>305</v>
      </c>
      <c r="H37" s="30">
        <f t="shared" si="3"/>
        <v>14</v>
      </c>
      <c r="I37" s="7">
        <v>0</v>
      </c>
      <c r="J37" s="7">
        <v>0</v>
      </c>
      <c r="K37" s="7">
        <f>4+1+9+0+0</f>
        <v>14</v>
      </c>
      <c r="L37" s="19">
        <f>+(126*13+113*12+72*7+1*4+7*11)/F37</f>
        <v>11.219435736677116</v>
      </c>
      <c r="N37" s="8">
        <f t="shared" si="6"/>
        <v>305</v>
      </c>
      <c r="O37" s="8">
        <f t="shared" si="7"/>
        <v>14</v>
      </c>
    </row>
    <row r="38" spans="1:22" x14ac:dyDescent="0.25">
      <c r="A38" s="48"/>
      <c r="B38" s="48"/>
      <c r="C38" s="51"/>
      <c r="D38" s="5" t="s">
        <v>34</v>
      </c>
      <c r="E38" s="5" t="s">
        <v>48</v>
      </c>
      <c r="F38" s="30">
        <f t="shared" si="2"/>
        <v>334</v>
      </c>
      <c r="G38" s="20">
        <f>83+19+154+1+77</f>
        <v>334</v>
      </c>
      <c r="H38" s="30">
        <f t="shared" si="3"/>
        <v>0</v>
      </c>
      <c r="I38" s="7">
        <v>0</v>
      </c>
      <c r="J38" s="7">
        <v>0</v>
      </c>
      <c r="K38" s="7">
        <v>0</v>
      </c>
      <c r="L38" s="19">
        <f>+(154*3+1*1+77*4+83*1+19*1)/F38</f>
        <v>2.6137724550898205</v>
      </c>
      <c r="N38" s="8">
        <f t="shared" si="6"/>
        <v>334</v>
      </c>
      <c r="O38" s="8">
        <f t="shared" si="7"/>
        <v>0</v>
      </c>
    </row>
    <row r="39" spans="1:22" x14ac:dyDescent="0.25">
      <c r="A39" s="48" t="s">
        <v>81</v>
      </c>
      <c r="B39" s="48">
        <v>95</v>
      </c>
      <c r="C39" s="52">
        <f t="shared" si="4"/>
        <v>0.91752577319587625</v>
      </c>
      <c r="D39" s="5" t="s">
        <v>34</v>
      </c>
      <c r="E39" s="5" t="s">
        <v>49</v>
      </c>
      <c r="F39" s="30">
        <f t="shared" si="2"/>
        <v>194</v>
      </c>
      <c r="G39" s="20">
        <f>63+1+42+10+62</f>
        <v>178</v>
      </c>
      <c r="H39" s="30">
        <f t="shared" si="3"/>
        <v>16</v>
      </c>
      <c r="I39" s="7">
        <v>0</v>
      </c>
      <c r="J39" s="7">
        <v>0</v>
      </c>
      <c r="K39" s="7">
        <f>7+0+7+0+2</f>
        <v>16</v>
      </c>
      <c r="L39" s="19">
        <f>+(70*4+1*1+49*3+10*9+64*10)/F39</f>
        <v>5.9690721649484537</v>
      </c>
      <c r="N39" s="8">
        <f t="shared" si="6"/>
        <v>178</v>
      </c>
      <c r="O39" s="8">
        <f t="shared" si="7"/>
        <v>16</v>
      </c>
    </row>
    <row r="40" spans="1:22" x14ac:dyDescent="0.25">
      <c r="A40" s="48"/>
      <c r="B40" s="48"/>
      <c r="C40" s="51"/>
      <c r="D40" s="5" t="s">
        <v>34</v>
      </c>
      <c r="E40" s="5" t="s">
        <v>50</v>
      </c>
      <c r="F40" s="30">
        <f t="shared" si="2"/>
        <v>0</v>
      </c>
      <c r="G40" s="20">
        <v>0</v>
      </c>
      <c r="H40" s="30">
        <f t="shared" si="3"/>
        <v>0</v>
      </c>
      <c r="I40" s="7">
        <v>0</v>
      </c>
      <c r="J40" s="7">
        <v>0</v>
      </c>
      <c r="K40" s="7">
        <v>0</v>
      </c>
      <c r="L40" s="17">
        <v>0</v>
      </c>
      <c r="N40" s="8">
        <f t="shared" si="6"/>
        <v>0</v>
      </c>
      <c r="O40" s="8">
        <f t="shared" si="7"/>
        <v>0</v>
      </c>
    </row>
    <row r="41" spans="1:22" x14ac:dyDescent="0.25">
      <c r="A41" s="48"/>
      <c r="B41" s="48"/>
      <c r="C41" s="51"/>
      <c r="D41" s="5" t="s">
        <v>34</v>
      </c>
      <c r="E41" s="5" t="s">
        <v>51</v>
      </c>
      <c r="F41" s="30">
        <f t="shared" si="2"/>
        <v>0</v>
      </c>
      <c r="G41" s="20">
        <v>0</v>
      </c>
      <c r="H41" s="30">
        <f t="shared" si="3"/>
        <v>0</v>
      </c>
      <c r="I41" s="7">
        <v>0</v>
      </c>
      <c r="J41" s="7">
        <v>0</v>
      </c>
      <c r="K41" s="7">
        <v>0</v>
      </c>
      <c r="L41" s="17">
        <v>0</v>
      </c>
      <c r="N41" s="8">
        <f t="shared" si="6"/>
        <v>0</v>
      </c>
      <c r="O41" s="8">
        <f t="shared" si="7"/>
        <v>0</v>
      </c>
    </row>
    <row r="42" spans="1:22" x14ac:dyDescent="0.25">
      <c r="A42" s="48"/>
      <c r="B42" s="48"/>
      <c r="C42" s="51"/>
      <c r="D42" s="5" t="s">
        <v>34</v>
      </c>
      <c r="E42" s="5" t="s">
        <v>52</v>
      </c>
      <c r="F42" s="30">
        <f t="shared" si="2"/>
        <v>0</v>
      </c>
      <c r="G42" s="20">
        <v>0</v>
      </c>
      <c r="H42" s="30">
        <f t="shared" si="3"/>
        <v>0</v>
      </c>
      <c r="I42" s="7">
        <v>0</v>
      </c>
      <c r="J42" s="7">
        <v>0</v>
      </c>
      <c r="K42" s="7">
        <v>0</v>
      </c>
      <c r="L42" s="17">
        <v>0</v>
      </c>
      <c r="N42" s="8">
        <f t="shared" si="6"/>
        <v>0</v>
      </c>
      <c r="O42" s="8">
        <f t="shared" si="7"/>
        <v>0</v>
      </c>
    </row>
    <row r="43" spans="1:22" x14ac:dyDescent="0.25">
      <c r="A43" s="48" t="s">
        <v>81</v>
      </c>
      <c r="B43" s="48" t="s">
        <v>82</v>
      </c>
      <c r="C43" s="51"/>
      <c r="D43" s="5" t="s">
        <v>34</v>
      </c>
      <c r="E43" s="5" t="s">
        <v>53</v>
      </c>
      <c r="F43" s="30">
        <f t="shared" si="2"/>
        <v>18482</v>
      </c>
      <c r="G43" s="20">
        <f>11652+6735</f>
        <v>18387</v>
      </c>
      <c r="H43" s="30">
        <f t="shared" si="3"/>
        <v>95</v>
      </c>
      <c r="I43" s="7">
        <v>0</v>
      </c>
      <c r="J43" s="7">
        <v>0</v>
      </c>
      <c r="K43" s="7">
        <f>23+72</f>
        <v>95</v>
      </c>
      <c r="L43" s="19">
        <v>0</v>
      </c>
      <c r="N43" s="8">
        <f>G43*0.1</f>
        <v>1838.7</v>
      </c>
      <c r="O43" s="8">
        <f>K43*0.1</f>
        <v>9.5</v>
      </c>
    </row>
    <row r="44" spans="1:22" x14ac:dyDescent="0.25">
      <c r="A44" s="48" t="s">
        <v>81</v>
      </c>
      <c r="B44" s="48" t="s">
        <v>82</v>
      </c>
      <c r="C44" s="51"/>
      <c r="D44" s="5" t="s">
        <v>34</v>
      </c>
      <c r="E44" s="5" t="s">
        <v>54</v>
      </c>
      <c r="F44" s="30">
        <f>IF(L44="",0,G43+K43)</f>
        <v>18482</v>
      </c>
      <c r="G44" s="30">
        <f>10881+6100</f>
        <v>16981</v>
      </c>
      <c r="H44" s="30">
        <f>+F44-G44</f>
        <v>1501</v>
      </c>
      <c r="I44" s="17">
        <v>0</v>
      </c>
      <c r="J44" s="17">
        <v>0</v>
      </c>
      <c r="K44" s="17">
        <v>0</v>
      </c>
      <c r="L44" s="20">
        <f>+(6*(10881+794)+6.25*(6100+707))/F43</f>
        <v>6.0920760740179638</v>
      </c>
      <c r="N44" s="8">
        <f>G44*0.1</f>
        <v>1698.1000000000001</v>
      </c>
      <c r="O44" s="8">
        <f>H44*0.1</f>
        <v>150.1</v>
      </c>
    </row>
    <row r="45" spans="1:22" x14ac:dyDescent="0.25">
      <c r="A45" s="48" t="s">
        <v>81</v>
      </c>
      <c r="B45" s="48" t="s">
        <v>82</v>
      </c>
      <c r="C45" s="51"/>
      <c r="D45" s="5" t="s">
        <v>34</v>
      </c>
      <c r="E45" s="5" t="s">
        <v>55</v>
      </c>
      <c r="F45" s="20">
        <f>+(688+470+380+498+769+554)+(1498+1175+1511+1544+1558+1410+2141+2012+2139+2642+2631+1946)</f>
        <v>25566</v>
      </c>
      <c r="G45" s="20">
        <f>+(609+433+353+451+704+493)+(1329+1093+1397+1399+1407+1197+1722+1694+1920+2302+2427+1836)</f>
        <v>22766</v>
      </c>
      <c r="H45" s="30">
        <f>+F45-G45</f>
        <v>2800</v>
      </c>
      <c r="I45" s="17">
        <v>0</v>
      </c>
      <c r="J45" s="17">
        <v>0</v>
      </c>
      <c r="K45" s="17">
        <v>0</v>
      </c>
      <c r="L45" s="22">
        <f>IF(ISERROR(G45/F45),"",G45/F45)</f>
        <v>0.89047954314323707</v>
      </c>
      <c r="N45" s="8">
        <f>G45*0.01</f>
        <v>227.66</v>
      </c>
      <c r="O45" s="8">
        <f>H45*0.01</f>
        <v>28</v>
      </c>
    </row>
    <row r="46" spans="1:22" x14ac:dyDescent="0.25">
      <c r="A46" s="48" t="s">
        <v>81</v>
      </c>
      <c r="B46" s="48">
        <v>90</v>
      </c>
      <c r="C46" s="51">
        <f t="shared" si="4"/>
        <v>0.99989298515329872</v>
      </c>
      <c r="D46" s="5" t="s">
        <v>34</v>
      </c>
      <c r="E46" s="5" t="s">
        <v>56</v>
      </c>
      <c r="F46" s="30">
        <f>IF(L46="",0,F45)</f>
        <v>25566</v>
      </c>
      <c r="G46" s="30">
        <f>+F46*L46</f>
        <v>25563.264058429235</v>
      </c>
      <c r="H46" s="30">
        <f>+F46-G46</f>
        <v>2.7359415707651351</v>
      </c>
      <c r="I46" s="17">
        <v>0</v>
      </c>
      <c r="J46" s="17">
        <v>0</v>
      </c>
      <c r="K46" s="17">
        <v>0</v>
      </c>
      <c r="L46" s="23">
        <f>((0.9984*609+1*433+353*1+451*1+704*1+493*1)+(0.9989*1329+1*1093+1*1397+1*1399+1*1407+1*1197+1*1722+1*1694+1*1920+1*2302+1*2427+1*1836))/G45</f>
        <v>0.99989298515329872</v>
      </c>
      <c r="N46" s="8">
        <f t="shared" ref="N46:O47" si="8">G46*0.01</f>
        <v>255.63264058429235</v>
      </c>
      <c r="O46" s="8">
        <f t="shared" si="8"/>
        <v>2.7359415707651352E-2</v>
      </c>
      <c r="V46" s="10"/>
    </row>
    <row r="47" spans="1:22" x14ac:dyDescent="0.25">
      <c r="A47" s="48" t="s">
        <v>81</v>
      </c>
      <c r="B47" s="48" t="s">
        <v>82</v>
      </c>
      <c r="C47" s="51"/>
      <c r="D47" s="5" t="s">
        <v>34</v>
      </c>
      <c r="E47" s="5" t="s">
        <v>57</v>
      </c>
      <c r="F47" s="30">
        <f>IF(L47="",0,F45)</f>
        <v>25566</v>
      </c>
      <c r="G47" s="30">
        <f>(1-(L47/4800))*F47</f>
        <v>24960.846874999999</v>
      </c>
      <c r="H47" s="30">
        <f>+F47-G47</f>
        <v>605.15312500000073</v>
      </c>
      <c r="I47" s="17">
        <v>0</v>
      </c>
      <c r="J47" s="17">
        <v>0</v>
      </c>
      <c r="K47" s="17">
        <v>0</v>
      </c>
      <c r="L47" s="20">
        <f>+((79*688)+(62*470)+(58*380)+(73*498)+(80*769)+(90*554)+(109*1498)+(81*1175)+(87*1511)+(96*1544)+(104*1558)+(124*1410)+(168*2141)+(151*2012)+(125*2139)+(135*2642)+(120*2631)+(89*1946))/F46</f>
        <v>113.61710865993898</v>
      </c>
      <c r="N47" s="8">
        <f t="shared" si="8"/>
        <v>249.60846874999999</v>
      </c>
      <c r="O47" s="8">
        <f t="shared" si="8"/>
        <v>6.0515312500000071</v>
      </c>
    </row>
    <row r="48" spans="1:22" x14ac:dyDescent="0.25">
      <c r="A48" s="48" t="s">
        <v>81</v>
      </c>
      <c r="B48" s="48">
        <v>90</v>
      </c>
      <c r="C48" s="51">
        <f t="shared" si="4"/>
        <v>0.95375799573560771</v>
      </c>
      <c r="D48" s="5" t="s">
        <v>34</v>
      </c>
      <c r="E48" s="5" t="s">
        <v>76</v>
      </c>
      <c r="F48" s="6">
        <f t="shared" si="2"/>
        <v>7504</v>
      </c>
      <c r="G48" s="7">
        <f>6493+664</f>
        <v>7157</v>
      </c>
      <c r="H48" s="6">
        <f t="shared" si="3"/>
        <v>347</v>
      </c>
      <c r="I48" s="7">
        <v>0</v>
      </c>
      <c r="J48" s="7">
        <v>0</v>
      </c>
      <c r="K48" s="7">
        <f>332+15</f>
        <v>347</v>
      </c>
      <c r="L48" s="19">
        <f>+(6825*45+679*42)/F48</f>
        <v>44.728544776119406</v>
      </c>
      <c r="N48" s="8">
        <f>G48*0.1</f>
        <v>715.7</v>
      </c>
      <c r="O48" s="8">
        <f>K48*0.1</f>
        <v>34.700000000000003</v>
      </c>
      <c r="P48" s="3"/>
    </row>
    <row r="50" spans="1:15" s="12" customFormat="1" ht="32.25" customHeight="1" x14ac:dyDescent="0.25">
      <c r="A50" s="50"/>
      <c r="B50" s="50"/>
      <c r="C50" s="50"/>
      <c r="E50" s="72" t="s">
        <v>63</v>
      </c>
      <c r="F50" s="72"/>
      <c r="G50" s="11" t="s">
        <v>58</v>
      </c>
      <c r="H50" s="11" t="s">
        <v>59</v>
      </c>
      <c r="L50" s="18"/>
      <c r="M50" s="73" t="s">
        <v>60</v>
      </c>
      <c r="N50" s="74"/>
      <c r="O50" s="75"/>
    </row>
    <row r="51" spans="1:15" x14ac:dyDescent="0.25">
      <c r="E51" s="13" t="s">
        <v>15</v>
      </c>
      <c r="F51" s="14">
        <f>IF(ISERROR(N51/(N51+O51)),"N/A",N51/(N51+O51))</f>
        <v>0.99242701844387449</v>
      </c>
      <c r="G51" s="15" t="str">
        <f>+IF(F51="N/A",F51,IF(F51&gt;98%,"A",IF(AND(F51&lt;=98%,F51&gt;90%),"B","C")))</f>
        <v>A</v>
      </c>
      <c r="H51" s="14" t="str">
        <f>+IF(F51="N/A",F51,IF(F51&gt;98%,"mantenimento",IF(AND(F51&lt;=98%,F51&gt;90%),F51+1%,F51+3%)))</f>
        <v>mantenimento</v>
      </c>
      <c r="M51" s="13" t="s">
        <v>15</v>
      </c>
      <c r="N51" s="8">
        <f>+SUMIF(D7:D48,"MC1",N7:N48)</f>
        <v>8125</v>
      </c>
      <c r="O51" s="8">
        <f>SUMIF(D7:D48,"MC1",O7:O48)</f>
        <v>62</v>
      </c>
    </row>
    <row r="52" spans="1:15" x14ac:dyDescent="0.25">
      <c r="E52" s="13" t="s">
        <v>34</v>
      </c>
      <c r="F52" s="14">
        <f>IF(ISERROR(N52/(N52+O52)),"N/A",N52/(N52+O52))</f>
        <v>0.96058649355078651</v>
      </c>
      <c r="G52" s="15" t="str">
        <f>+IF(F52="N/A",F52,IF(F52&gt;95%,"A",IF(AND(F52&lt;=95%,F52&gt;90%),"B","C")))</f>
        <v>A</v>
      </c>
      <c r="H52" s="14" t="str">
        <f>+IF(F52="N/A",F52,IF(F52&gt;95%,"mantenimento",IF(AND(F52&lt;=95%,F52&gt;90%),F52+1%,F52+3%)))</f>
        <v>mantenimento</v>
      </c>
      <c r="M52" s="13" t="s">
        <v>34</v>
      </c>
      <c r="N52" s="8">
        <f>SUMIF(D7:D48,"MC2",N7:N48)</f>
        <v>7914.5161093342913</v>
      </c>
      <c r="O52" s="8">
        <f>SUMIF(D7:D48,"MC2",O7:O48)</f>
        <v>324.73789066570765</v>
      </c>
    </row>
  </sheetData>
  <mergeCells count="16">
    <mergeCell ref="G5:G6"/>
    <mergeCell ref="E50:F50"/>
    <mergeCell ref="M50:O50"/>
    <mergeCell ref="F1:G1"/>
    <mergeCell ref="F2:G2"/>
    <mergeCell ref="F3:G3"/>
    <mergeCell ref="H5:H6"/>
    <mergeCell ref="I5:K5"/>
    <mergeCell ref="L5:L6"/>
    <mergeCell ref="N5:N6"/>
    <mergeCell ref="O5:O6"/>
    <mergeCell ref="A5:A6"/>
    <mergeCell ref="B5:B6"/>
    <mergeCell ref="D5:D6"/>
    <mergeCell ref="E5:E6"/>
    <mergeCell ref="F5:F6"/>
  </mergeCells>
  <conditionalFormatting sqref="F48 F7:F43 H48 H7:H43 N7:O48">
    <cfRule type="cellIs" dxfId="121" priority="20" operator="lessThan">
      <formula>0</formula>
    </cfRule>
    <cfRule type="cellIs" dxfId="120" priority="22" operator="lessThan">
      <formula>0</formula>
    </cfRule>
  </conditionalFormatting>
  <conditionalFormatting sqref="F27:F32">
    <cfRule type="cellIs" dxfId="119" priority="21" operator="lessThan">
      <formula>-2</formula>
    </cfRule>
  </conditionalFormatting>
  <conditionalFormatting sqref="N51:O52">
    <cfRule type="cellIs" dxfId="118" priority="18" operator="lessThan">
      <formula>0</formula>
    </cfRule>
    <cfRule type="cellIs" dxfId="117" priority="19" operator="lessThan">
      <formula>0</formula>
    </cfRule>
  </conditionalFormatting>
  <conditionalFormatting sqref="F51">
    <cfRule type="cellIs" dxfId="116" priority="16" operator="lessThan">
      <formula>0</formula>
    </cfRule>
    <cfRule type="cellIs" dxfId="115" priority="17" operator="lessThan">
      <formula>0</formula>
    </cfRule>
  </conditionalFormatting>
  <conditionalFormatting sqref="G51">
    <cfRule type="cellIs" dxfId="114" priority="14" operator="lessThan">
      <formula>0</formula>
    </cfRule>
    <cfRule type="cellIs" dxfId="113" priority="15" operator="lessThan">
      <formula>0</formula>
    </cfRule>
  </conditionalFormatting>
  <conditionalFormatting sqref="N7:O48 F7:K17 K18:K43 F18:H47 F48:K48">
    <cfRule type="cellIs" dxfId="112" priority="13" operator="lessThan">
      <formula>0</formula>
    </cfRule>
  </conditionalFormatting>
  <conditionalFormatting sqref="L44 N51:O52 L47">
    <cfRule type="cellIs" dxfId="111" priority="12" operator="lessThan">
      <formula>0</formula>
    </cfRule>
  </conditionalFormatting>
  <conditionalFormatting sqref="L45">
    <cfRule type="cellIs" dxfId="110" priority="11" operator="lessThan">
      <formula>0</formula>
    </cfRule>
  </conditionalFormatting>
  <conditionalFormatting sqref="F52">
    <cfRule type="cellIs" dxfId="109" priority="9" operator="lessThan">
      <formula>0</formula>
    </cfRule>
    <cfRule type="cellIs" dxfId="108" priority="10" operator="lessThan">
      <formula>0</formula>
    </cfRule>
  </conditionalFormatting>
  <conditionalFormatting sqref="H51">
    <cfRule type="cellIs" dxfId="107" priority="7" operator="lessThan">
      <formula>0</formula>
    </cfRule>
    <cfRule type="cellIs" dxfId="106" priority="8" operator="lessThan">
      <formula>0</formula>
    </cfRule>
  </conditionalFormatting>
  <conditionalFormatting sqref="G52">
    <cfRule type="cellIs" dxfId="105" priority="5" operator="lessThan">
      <formula>0</formula>
    </cfRule>
    <cfRule type="cellIs" dxfId="104" priority="6" operator="lessThan">
      <formula>0</formula>
    </cfRule>
  </conditionalFormatting>
  <conditionalFormatting sqref="H52">
    <cfRule type="cellIs" dxfId="103" priority="3" operator="lessThan">
      <formula>0</formula>
    </cfRule>
    <cfRule type="cellIs" dxfId="102" priority="4" operator="lessThan">
      <formula>0</formula>
    </cfRule>
  </conditionalFormatting>
  <conditionalFormatting sqref="J18:J43">
    <cfRule type="cellIs" dxfId="101" priority="2" operator="lessThan">
      <formula>0</formula>
    </cfRule>
  </conditionalFormatting>
  <conditionalFormatting sqref="I18:I43">
    <cfRule type="cellIs" dxfId="10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0C5D-97D2-446E-AC1C-DCBF0826A8ED}">
  <dimension ref="A1:S52"/>
  <sheetViews>
    <sheetView topLeftCell="A22" zoomScale="79" zoomScaleNormal="79" workbookViewId="0">
      <selection activeCell="D48" sqref="D48:I48"/>
    </sheetView>
  </sheetViews>
  <sheetFormatPr defaultColWidth="9.140625" defaultRowHeight="15" x14ac:dyDescent="0.25"/>
  <cols>
    <col min="1" max="1" width="8" customWidth="1"/>
    <col min="2" max="2" width="71.7109375" customWidth="1"/>
    <col min="3" max="4" width="12.28515625" customWidth="1"/>
    <col min="5" max="5" width="13.5703125" customWidth="1"/>
    <col min="6" max="6" width="10.42578125" customWidth="1"/>
    <col min="7" max="7" width="14.5703125" customWidth="1"/>
    <col min="8" max="8" width="9.42578125" customWidth="1"/>
    <col min="9" max="9" width="10.140625" style="16" customWidth="1"/>
    <col min="10" max="10" width="6.28515625" customWidth="1"/>
    <col min="11" max="12" width="11" customWidth="1"/>
  </cols>
  <sheetData>
    <row r="1" spans="1:12" ht="18.75" x14ac:dyDescent="0.3">
      <c r="B1" s="1" t="s">
        <v>61</v>
      </c>
      <c r="C1" s="76" t="s">
        <v>0</v>
      </c>
      <c r="D1" s="76"/>
      <c r="E1" s="2"/>
    </row>
    <row r="2" spans="1:12" x14ac:dyDescent="0.25">
      <c r="B2" t="s">
        <v>1</v>
      </c>
      <c r="C2" s="76" t="s">
        <v>2</v>
      </c>
      <c r="D2" s="76"/>
      <c r="E2" s="2"/>
    </row>
    <row r="3" spans="1:12" x14ac:dyDescent="0.25">
      <c r="B3" t="s">
        <v>65</v>
      </c>
      <c r="C3" s="76" t="s">
        <v>3</v>
      </c>
      <c r="D3" s="76"/>
      <c r="E3" s="2"/>
    </row>
    <row r="4" spans="1:12" x14ac:dyDescent="0.25">
      <c r="C4" s="3"/>
      <c r="D4" s="3"/>
    </row>
    <row r="5" spans="1:12" ht="35.25" customHeight="1" x14ac:dyDescent="0.25">
      <c r="A5" s="71" t="s">
        <v>4</v>
      </c>
      <c r="B5" s="71" t="s">
        <v>5</v>
      </c>
      <c r="C5" s="71" t="s">
        <v>6</v>
      </c>
      <c r="D5" s="71" t="s">
        <v>7</v>
      </c>
      <c r="E5" s="71" t="s">
        <v>8</v>
      </c>
      <c r="F5" s="71" t="s">
        <v>9</v>
      </c>
      <c r="G5" s="71"/>
      <c r="H5" s="71"/>
      <c r="I5" s="77" t="s">
        <v>64</v>
      </c>
      <c r="K5" s="71" t="s">
        <v>10</v>
      </c>
      <c r="L5" s="71" t="s">
        <v>11</v>
      </c>
    </row>
    <row r="6" spans="1:12" ht="56.25" x14ac:dyDescent="0.25">
      <c r="A6" s="71"/>
      <c r="B6" s="71"/>
      <c r="C6" s="71"/>
      <c r="D6" s="71"/>
      <c r="E6" s="71"/>
      <c r="F6" s="4" t="s">
        <v>12</v>
      </c>
      <c r="G6" s="4" t="s">
        <v>13</v>
      </c>
      <c r="H6" s="4" t="s">
        <v>14</v>
      </c>
      <c r="I6" s="77"/>
      <c r="K6" s="71"/>
      <c r="L6" s="71"/>
    </row>
    <row r="7" spans="1:12" x14ac:dyDescent="0.25">
      <c r="A7" s="5" t="s">
        <v>15</v>
      </c>
      <c r="B7" s="5" t="s">
        <v>16</v>
      </c>
      <c r="C7" s="30">
        <f>+D7+E7</f>
        <v>0</v>
      </c>
      <c r="D7" s="20">
        <v>0</v>
      </c>
      <c r="E7" s="30">
        <f>+F7+G7+H7</f>
        <v>0</v>
      </c>
      <c r="F7" s="7">
        <v>0</v>
      </c>
      <c r="G7" s="7">
        <v>0</v>
      </c>
      <c r="H7" s="7">
        <v>0</v>
      </c>
      <c r="I7" s="17">
        <v>0</v>
      </c>
      <c r="K7" s="8">
        <f>+D7</f>
        <v>0</v>
      </c>
      <c r="L7" s="8">
        <f>+H7</f>
        <v>0</v>
      </c>
    </row>
    <row r="8" spans="1:12" x14ac:dyDescent="0.25">
      <c r="A8" s="5" t="s">
        <v>15</v>
      </c>
      <c r="B8" s="5" t="s">
        <v>17</v>
      </c>
      <c r="C8" s="30">
        <f>+D8+E8</f>
        <v>72</v>
      </c>
      <c r="D8" s="20">
        <f>55+1+8</f>
        <v>64</v>
      </c>
      <c r="E8" s="30">
        <f>+F8+G8+H8</f>
        <v>8</v>
      </c>
      <c r="F8" s="7">
        <v>0</v>
      </c>
      <c r="G8" s="7">
        <v>0</v>
      </c>
      <c r="H8" s="7">
        <f>6+1+1</f>
        <v>8</v>
      </c>
      <c r="I8" s="19">
        <f>(61*7+2*9+9*6)/C8</f>
        <v>6.9305555555555554</v>
      </c>
      <c r="K8" s="8">
        <f t="shared" ref="K8:K34" si="0">+D8</f>
        <v>64</v>
      </c>
      <c r="L8" s="8">
        <f t="shared" ref="L8:L34" si="1">+H8</f>
        <v>8</v>
      </c>
    </row>
    <row r="9" spans="1:12" x14ac:dyDescent="0.25">
      <c r="A9" s="5" t="s">
        <v>15</v>
      </c>
      <c r="B9" s="5" t="s">
        <v>18</v>
      </c>
      <c r="C9" s="30">
        <f>+D9+E9</f>
        <v>0</v>
      </c>
      <c r="D9" s="20">
        <v>0</v>
      </c>
      <c r="E9" s="30">
        <f>+F9+G9+H9</f>
        <v>0</v>
      </c>
      <c r="F9" s="7">
        <v>0</v>
      </c>
      <c r="G9" s="7">
        <v>0</v>
      </c>
      <c r="H9" s="7">
        <v>0</v>
      </c>
      <c r="I9" s="17">
        <v>0</v>
      </c>
      <c r="K9" s="8">
        <f t="shared" si="0"/>
        <v>0</v>
      </c>
      <c r="L9" s="8">
        <f t="shared" si="1"/>
        <v>0</v>
      </c>
    </row>
    <row r="10" spans="1:12" x14ac:dyDescent="0.25">
      <c r="A10" s="5" t="s">
        <v>15</v>
      </c>
      <c r="B10" s="5" t="s">
        <v>19</v>
      </c>
      <c r="C10" s="30">
        <f>+D10+E10</f>
        <v>244</v>
      </c>
      <c r="D10" s="20">
        <f>175+9+59</f>
        <v>243</v>
      </c>
      <c r="E10" s="30">
        <f>+F10+G10+H10</f>
        <v>1</v>
      </c>
      <c r="F10" s="7">
        <v>0</v>
      </c>
      <c r="G10" s="7">
        <v>0</v>
      </c>
      <c r="H10" s="7">
        <f>1</f>
        <v>1</v>
      </c>
      <c r="I10" s="19">
        <f>+(175*6+9*5+60*8)/C10</f>
        <v>6.4549180327868854</v>
      </c>
      <c r="K10" s="8">
        <f t="shared" si="0"/>
        <v>243</v>
      </c>
      <c r="L10" s="8">
        <f t="shared" si="1"/>
        <v>1</v>
      </c>
    </row>
    <row r="11" spans="1:12" x14ac:dyDescent="0.25">
      <c r="A11" s="5" t="s">
        <v>15</v>
      </c>
      <c r="B11" s="5" t="s">
        <v>20</v>
      </c>
      <c r="C11" s="30">
        <f t="shared" ref="C11:C48" si="2">+D11+E11</f>
        <v>0</v>
      </c>
      <c r="D11" s="20">
        <v>0</v>
      </c>
      <c r="E11" s="30">
        <f t="shared" ref="E11:E43" si="3">+F11+G11+H11</f>
        <v>0</v>
      </c>
      <c r="F11" s="7">
        <v>0</v>
      </c>
      <c r="G11" s="7">
        <v>0</v>
      </c>
      <c r="H11" s="7">
        <v>0</v>
      </c>
      <c r="I11" s="17">
        <v>0</v>
      </c>
      <c r="K11" s="8">
        <f t="shared" si="0"/>
        <v>0</v>
      </c>
      <c r="L11" s="8">
        <f t="shared" si="1"/>
        <v>0</v>
      </c>
    </row>
    <row r="12" spans="1:12" x14ac:dyDescent="0.25">
      <c r="A12" s="5" t="s">
        <v>15</v>
      </c>
      <c r="B12" s="5" t="s">
        <v>21</v>
      </c>
      <c r="C12" s="30">
        <f t="shared" si="2"/>
        <v>45</v>
      </c>
      <c r="D12" s="20">
        <f>35+10</f>
        <v>45</v>
      </c>
      <c r="E12" s="30">
        <f t="shared" si="3"/>
        <v>0</v>
      </c>
      <c r="F12" s="7">
        <v>0</v>
      </c>
      <c r="G12" s="7">
        <v>0</v>
      </c>
      <c r="H12" s="7">
        <v>0</v>
      </c>
      <c r="I12" s="19">
        <f>+(35*7+10*6)/C12</f>
        <v>6.7777777777777777</v>
      </c>
      <c r="K12" s="8">
        <f t="shared" si="0"/>
        <v>45</v>
      </c>
      <c r="L12" s="8">
        <f t="shared" si="1"/>
        <v>0</v>
      </c>
    </row>
    <row r="13" spans="1:12" x14ac:dyDescent="0.25">
      <c r="A13" s="5" t="s">
        <v>15</v>
      </c>
      <c r="B13" s="5" t="s">
        <v>22</v>
      </c>
      <c r="C13" s="30">
        <f>+D13+E13</f>
        <v>0</v>
      </c>
      <c r="D13" s="20">
        <v>0</v>
      </c>
      <c r="E13" s="30">
        <f>+F13+G13+H13</f>
        <v>0</v>
      </c>
      <c r="F13" s="7">
        <v>0</v>
      </c>
      <c r="G13" s="7">
        <v>0</v>
      </c>
      <c r="H13" s="7">
        <v>0</v>
      </c>
      <c r="I13" s="17">
        <v>0</v>
      </c>
      <c r="K13" s="8">
        <f t="shared" si="0"/>
        <v>0</v>
      </c>
      <c r="L13" s="8">
        <f t="shared" si="1"/>
        <v>0</v>
      </c>
    </row>
    <row r="14" spans="1:12" x14ac:dyDescent="0.25">
      <c r="A14" s="5" t="s">
        <v>15</v>
      </c>
      <c r="B14" s="5" t="s">
        <v>23</v>
      </c>
      <c r="C14" s="30">
        <f t="shared" si="2"/>
        <v>0</v>
      </c>
      <c r="D14" s="20">
        <v>0</v>
      </c>
      <c r="E14" s="30">
        <f t="shared" si="3"/>
        <v>0</v>
      </c>
      <c r="F14" s="7">
        <v>0</v>
      </c>
      <c r="G14" s="7">
        <v>0</v>
      </c>
      <c r="H14" s="7">
        <v>0</v>
      </c>
      <c r="I14" s="17">
        <v>0</v>
      </c>
      <c r="K14" s="8">
        <f t="shared" si="0"/>
        <v>0</v>
      </c>
      <c r="L14" s="8">
        <f t="shared" si="1"/>
        <v>0</v>
      </c>
    </row>
    <row r="15" spans="1:12" x14ac:dyDescent="0.25">
      <c r="A15" s="5" t="s">
        <v>15</v>
      </c>
      <c r="B15" s="5" t="s">
        <v>24</v>
      </c>
      <c r="C15" s="30">
        <f>+D15+E15</f>
        <v>7</v>
      </c>
      <c r="D15" s="20">
        <f>+(4+3)</f>
        <v>7</v>
      </c>
      <c r="E15" s="30">
        <f>+F15+G15+H15</f>
        <v>0</v>
      </c>
      <c r="F15" s="7">
        <v>0</v>
      </c>
      <c r="G15" s="7">
        <v>0</v>
      </c>
      <c r="H15" s="7">
        <v>0</v>
      </c>
      <c r="I15" s="19">
        <f>+(3*7+4*7)/C15</f>
        <v>7</v>
      </c>
      <c r="K15" s="8">
        <f t="shared" si="0"/>
        <v>7</v>
      </c>
      <c r="L15" s="8">
        <f t="shared" si="1"/>
        <v>0</v>
      </c>
    </row>
    <row r="16" spans="1:12" x14ac:dyDescent="0.25">
      <c r="A16" s="5" t="s">
        <v>15</v>
      </c>
      <c r="B16" s="5" t="s">
        <v>25</v>
      </c>
      <c r="C16" s="30">
        <f>+D16+E16</f>
        <v>142</v>
      </c>
      <c r="D16" s="20">
        <f>90+7+36</f>
        <v>133</v>
      </c>
      <c r="E16" s="30">
        <f>+F16+G16+H16</f>
        <v>9</v>
      </c>
      <c r="F16" s="7">
        <v>0</v>
      </c>
      <c r="G16" s="7">
        <v>0</v>
      </c>
      <c r="H16" s="7">
        <f>6+3</f>
        <v>9</v>
      </c>
      <c r="I16" s="19">
        <f>+(96*14+7*10+39*18)/C16</f>
        <v>14.901408450704226</v>
      </c>
      <c r="K16" s="8">
        <f t="shared" si="0"/>
        <v>133</v>
      </c>
      <c r="L16" s="8">
        <f t="shared" si="1"/>
        <v>9</v>
      </c>
    </row>
    <row r="17" spans="1:12" x14ac:dyDescent="0.25">
      <c r="A17" s="5" t="s">
        <v>15</v>
      </c>
      <c r="B17" s="5" t="s">
        <v>26</v>
      </c>
      <c r="C17" s="30">
        <f t="shared" si="2"/>
        <v>62</v>
      </c>
      <c r="D17" s="20">
        <f>48+2+7</f>
        <v>57</v>
      </c>
      <c r="E17" s="30">
        <f t="shared" si="3"/>
        <v>5</v>
      </c>
      <c r="F17" s="7">
        <v>0</v>
      </c>
      <c r="G17" s="7">
        <v>0</v>
      </c>
      <c r="H17" s="7">
        <f>5</f>
        <v>5</v>
      </c>
      <c r="I17" s="19">
        <f>+((53*26+2*24+7*15)/C17)</f>
        <v>24.693548387096776</v>
      </c>
      <c r="K17" s="8">
        <f t="shared" si="0"/>
        <v>57</v>
      </c>
      <c r="L17" s="8">
        <f t="shared" si="1"/>
        <v>5</v>
      </c>
    </row>
    <row r="18" spans="1:12" x14ac:dyDescent="0.25">
      <c r="A18" s="5" t="s">
        <v>15</v>
      </c>
      <c r="B18" s="5" t="s">
        <v>27</v>
      </c>
      <c r="C18" s="30">
        <f t="shared" si="2"/>
        <v>16</v>
      </c>
      <c r="D18" s="20">
        <f>12+4</f>
        <v>16</v>
      </c>
      <c r="E18" s="30">
        <f t="shared" si="3"/>
        <v>0</v>
      </c>
      <c r="F18" s="7">
        <v>0</v>
      </c>
      <c r="G18" s="7">
        <v>0</v>
      </c>
      <c r="H18" s="7">
        <v>0</v>
      </c>
      <c r="I18" s="19">
        <f>+(12*16+4*18)/C18</f>
        <v>16.5</v>
      </c>
      <c r="K18" s="8">
        <f t="shared" si="0"/>
        <v>16</v>
      </c>
      <c r="L18" s="8">
        <f t="shared" si="1"/>
        <v>0</v>
      </c>
    </row>
    <row r="19" spans="1:12" x14ac:dyDescent="0.25">
      <c r="A19" s="5" t="s">
        <v>15</v>
      </c>
      <c r="B19" s="5" t="s">
        <v>28</v>
      </c>
      <c r="C19" s="30">
        <f t="shared" si="2"/>
        <v>559</v>
      </c>
      <c r="D19" s="20">
        <f>+(436+10+105)</f>
        <v>551</v>
      </c>
      <c r="E19" s="30">
        <f t="shared" si="3"/>
        <v>8</v>
      </c>
      <c r="F19" s="7">
        <v>0</v>
      </c>
      <c r="G19" s="7">
        <v>0</v>
      </c>
      <c r="H19" s="7">
        <f>+(7+1)</f>
        <v>8</v>
      </c>
      <c r="I19" s="19">
        <f>(2*443+1*10+2*106+76*0+1*0+18*0)/C19</f>
        <v>1.9821109123434706</v>
      </c>
      <c r="K19" s="8">
        <f t="shared" si="0"/>
        <v>551</v>
      </c>
      <c r="L19" s="8">
        <f t="shared" si="1"/>
        <v>8</v>
      </c>
    </row>
    <row r="20" spans="1:12" x14ac:dyDescent="0.25">
      <c r="A20" s="5" t="s">
        <v>15</v>
      </c>
      <c r="B20" s="5" t="s">
        <v>29</v>
      </c>
      <c r="C20" s="30">
        <f>+D20+E20</f>
        <v>535</v>
      </c>
      <c r="D20" s="20">
        <f>+(463+2+70)</f>
        <v>535</v>
      </c>
      <c r="E20" s="30">
        <f>+F20+G20+H20</f>
        <v>0</v>
      </c>
      <c r="F20" s="7">
        <v>0</v>
      </c>
      <c r="G20" s="7">
        <v>0</v>
      </c>
      <c r="H20" s="7"/>
      <c r="I20" s="19">
        <f>+((464*3+2*2+70*3))/C20</f>
        <v>3.0018691588785047</v>
      </c>
      <c r="K20" s="8">
        <f t="shared" si="0"/>
        <v>535</v>
      </c>
      <c r="L20" s="8">
        <f t="shared" si="1"/>
        <v>0</v>
      </c>
    </row>
    <row r="21" spans="1:12" x14ac:dyDescent="0.25">
      <c r="A21" s="5" t="s">
        <v>15</v>
      </c>
      <c r="B21" s="5" t="s">
        <v>30</v>
      </c>
      <c r="C21" s="30">
        <f>+D21+E21</f>
        <v>0</v>
      </c>
      <c r="D21" s="20">
        <v>0</v>
      </c>
      <c r="E21" s="30">
        <f>+F21+G21+H21</f>
        <v>0</v>
      </c>
      <c r="F21" s="7">
        <v>0</v>
      </c>
      <c r="G21" s="7">
        <v>0</v>
      </c>
      <c r="H21" s="7">
        <v>0</v>
      </c>
      <c r="I21" s="17">
        <v>0</v>
      </c>
      <c r="K21" s="8">
        <f t="shared" si="0"/>
        <v>0</v>
      </c>
      <c r="L21" s="8">
        <f t="shared" si="1"/>
        <v>0</v>
      </c>
    </row>
    <row r="22" spans="1:12" x14ac:dyDescent="0.25">
      <c r="A22" s="5" t="s">
        <v>15</v>
      </c>
      <c r="B22" s="5" t="s">
        <v>31</v>
      </c>
      <c r="C22" s="30">
        <f>+D22+E22</f>
        <v>34</v>
      </c>
      <c r="D22" s="20">
        <f>+(28+5)</f>
        <v>33</v>
      </c>
      <c r="E22" s="30">
        <f>+F22+G22+H22</f>
        <v>1</v>
      </c>
      <c r="F22" s="7">
        <v>0</v>
      </c>
      <c r="G22" s="7">
        <v>0</v>
      </c>
      <c r="H22" s="7">
        <f>1</f>
        <v>1</v>
      </c>
      <c r="I22" s="19">
        <f>+(29*2+5*0)/C22</f>
        <v>1.7058823529411764</v>
      </c>
      <c r="K22" s="8">
        <f t="shared" si="0"/>
        <v>33</v>
      </c>
      <c r="L22" s="8">
        <f t="shared" si="1"/>
        <v>1</v>
      </c>
    </row>
    <row r="23" spans="1:12" x14ac:dyDescent="0.25">
      <c r="A23" s="5" t="s">
        <v>15</v>
      </c>
      <c r="B23" s="5" t="s">
        <v>32</v>
      </c>
      <c r="C23" s="30">
        <f t="shared" si="2"/>
        <v>794</v>
      </c>
      <c r="D23" s="20">
        <f>+(678+1+112)</f>
        <v>791</v>
      </c>
      <c r="E23" s="30">
        <f t="shared" si="3"/>
        <v>3</v>
      </c>
      <c r="F23" s="7">
        <v>0</v>
      </c>
      <c r="G23" s="7">
        <v>0</v>
      </c>
      <c r="H23" s="7">
        <f>+(3+0+0)</f>
        <v>3</v>
      </c>
      <c r="I23" s="19">
        <f>+(((681+1+112)*3)/C23)</f>
        <v>3</v>
      </c>
      <c r="K23" s="8">
        <f t="shared" si="0"/>
        <v>791</v>
      </c>
      <c r="L23" s="8">
        <f t="shared" si="1"/>
        <v>3</v>
      </c>
    </row>
    <row r="24" spans="1:12" x14ac:dyDescent="0.25">
      <c r="A24" s="5" t="s">
        <v>15</v>
      </c>
      <c r="B24" s="5" t="s">
        <v>33</v>
      </c>
      <c r="C24" s="30">
        <f t="shared" si="2"/>
        <v>2439</v>
      </c>
      <c r="D24" s="20">
        <f>+(2254+4+181)</f>
        <v>2439</v>
      </c>
      <c r="E24" s="30">
        <f t="shared" si="3"/>
        <v>0</v>
      </c>
      <c r="F24" s="7">
        <v>0</v>
      </c>
      <c r="G24" s="7">
        <v>0</v>
      </c>
      <c r="H24" s="7">
        <v>0</v>
      </c>
      <c r="I24" s="24">
        <v>0</v>
      </c>
      <c r="K24" s="8">
        <f t="shared" si="0"/>
        <v>2439</v>
      </c>
      <c r="L24" s="8">
        <f t="shared" si="1"/>
        <v>0</v>
      </c>
    </row>
    <row r="25" spans="1:12" x14ac:dyDescent="0.25">
      <c r="A25" s="5" t="s">
        <v>34</v>
      </c>
      <c r="B25" s="5" t="s">
        <v>35</v>
      </c>
      <c r="C25" s="30">
        <f t="shared" si="2"/>
        <v>365</v>
      </c>
      <c r="D25" s="20">
        <f>+(256+9+89)</f>
        <v>354</v>
      </c>
      <c r="E25" s="30">
        <f>+F25+G25+H25</f>
        <v>11</v>
      </c>
      <c r="F25" s="7">
        <v>0</v>
      </c>
      <c r="G25" s="7">
        <v>0</v>
      </c>
      <c r="H25" s="7">
        <f>+(7+4)</f>
        <v>11</v>
      </c>
      <c r="I25" s="19">
        <f>+(4*263+3*9+5*93)/C25</f>
        <v>4.2301369863013702</v>
      </c>
      <c r="K25" s="8">
        <f t="shared" si="0"/>
        <v>354</v>
      </c>
      <c r="L25" s="8">
        <f t="shared" si="1"/>
        <v>11</v>
      </c>
    </row>
    <row r="26" spans="1:12" x14ac:dyDescent="0.25">
      <c r="A26" s="5" t="s">
        <v>34</v>
      </c>
      <c r="B26" s="5" t="s">
        <v>36</v>
      </c>
      <c r="C26" s="30">
        <f t="shared" si="2"/>
        <v>0</v>
      </c>
      <c r="D26" s="20">
        <v>0</v>
      </c>
      <c r="E26" s="30">
        <f>+F26+G26+H26</f>
        <v>0</v>
      </c>
      <c r="F26" s="7">
        <v>0</v>
      </c>
      <c r="G26" s="7">
        <v>0</v>
      </c>
      <c r="H26" s="7">
        <v>0</v>
      </c>
      <c r="I26" s="19">
        <v>0</v>
      </c>
      <c r="K26" s="8">
        <f t="shared" si="0"/>
        <v>0</v>
      </c>
      <c r="L26" s="8">
        <f t="shared" si="1"/>
        <v>0</v>
      </c>
    </row>
    <row r="27" spans="1:12" x14ac:dyDescent="0.25">
      <c r="A27" s="9" t="s">
        <v>34</v>
      </c>
      <c r="B27" s="9" t="s">
        <v>37</v>
      </c>
      <c r="C27" s="30">
        <f t="shared" si="2"/>
        <v>365</v>
      </c>
      <c r="D27" s="20">
        <f>+(263+9+93)</f>
        <v>365</v>
      </c>
      <c r="E27" s="30">
        <f t="shared" si="3"/>
        <v>0</v>
      </c>
      <c r="F27" s="7">
        <v>0</v>
      </c>
      <c r="G27" s="7">
        <v>0</v>
      </c>
      <c r="H27" s="7">
        <v>0</v>
      </c>
      <c r="I27" s="27">
        <f>+((1.25*263)+(1.28*9)+(1.27*93))/C27</f>
        <v>1.2558356164383562</v>
      </c>
      <c r="K27" s="8">
        <f t="shared" si="0"/>
        <v>365</v>
      </c>
      <c r="L27" s="8">
        <f t="shared" si="1"/>
        <v>0</v>
      </c>
    </row>
    <row r="28" spans="1:12" x14ac:dyDescent="0.25">
      <c r="A28" s="5" t="s">
        <v>34</v>
      </c>
      <c r="B28" s="5" t="s">
        <v>38</v>
      </c>
      <c r="C28" s="30">
        <f t="shared" si="2"/>
        <v>3</v>
      </c>
      <c r="D28" s="20">
        <f>2</f>
        <v>2</v>
      </c>
      <c r="E28" s="30">
        <f>+F28+G28+H28</f>
        <v>1</v>
      </c>
      <c r="F28" s="7">
        <v>0</v>
      </c>
      <c r="G28" s="7">
        <v>0</v>
      </c>
      <c r="H28" s="7">
        <v>1</v>
      </c>
      <c r="I28" s="19">
        <f>+(3*9)/C28</f>
        <v>9</v>
      </c>
      <c r="K28" s="8">
        <f t="shared" si="0"/>
        <v>2</v>
      </c>
      <c r="L28" s="8">
        <f t="shared" si="1"/>
        <v>1</v>
      </c>
    </row>
    <row r="29" spans="1:12" x14ac:dyDescent="0.25">
      <c r="A29" s="5" t="s">
        <v>34</v>
      </c>
      <c r="B29" s="5" t="s">
        <v>39</v>
      </c>
      <c r="C29" s="30">
        <f t="shared" si="2"/>
        <v>4</v>
      </c>
      <c r="D29" s="20">
        <f>2</f>
        <v>2</v>
      </c>
      <c r="E29" s="30">
        <f>+F29+G29+H29</f>
        <v>2</v>
      </c>
      <c r="F29" s="7">
        <v>0</v>
      </c>
      <c r="G29" s="7">
        <v>0</v>
      </c>
      <c r="H29" s="7">
        <v>2</v>
      </c>
      <c r="I29" s="19">
        <f>(4*22)/C29</f>
        <v>22</v>
      </c>
      <c r="K29" s="8">
        <f t="shared" si="0"/>
        <v>2</v>
      </c>
      <c r="L29" s="8">
        <f t="shared" si="1"/>
        <v>2</v>
      </c>
    </row>
    <row r="30" spans="1:12" x14ac:dyDescent="0.25">
      <c r="A30" s="5" t="s">
        <v>34</v>
      </c>
      <c r="B30" s="5" t="s">
        <v>40</v>
      </c>
      <c r="C30" s="30">
        <f t="shared" si="2"/>
        <v>0</v>
      </c>
      <c r="D30" s="20">
        <v>0</v>
      </c>
      <c r="E30" s="30">
        <f>+F30+G30+H30</f>
        <v>0</v>
      </c>
      <c r="F30" s="7">
        <v>0</v>
      </c>
      <c r="G30" s="7">
        <v>0</v>
      </c>
      <c r="H30" s="7">
        <v>0</v>
      </c>
      <c r="I30" s="19">
        <v>0</v>
      </c>
      <c r="K30" s="8">
        <f t="shared" si="0"/>
        <v>0</v>
      </c>
      <c r="L30" s="8">
        <f t="shared" si="1"/>
        <v>0</v>
      </c>
    </row>
    <row r="31" spans="1:12" x14ac:dyDescent="0.25">
      <c r="A31" s="5" t="s">
        <v>34</v>
      </c>
      <c r="B31" s="5" t="s">
        <v>41</v>
      </c>
      <c r="C31" s="30">
        <f t="shared" si="2"/>
        <v>0</v>
      </c>
      <c r="D31" s="20">
        <v>0</v>
      </c>
      <c r="E31" s="30">
        <f>+F31+G31+H31</f>
        <v>0</v>
      </c>
      <c r="F31" s="7">
        <v>0</v>
      </c>
      <c r="G31" s="7">
        <v>0</v>
      </c>
      <c r="H31" s="7">
        <v>0</v>
      </c>
      <c r="I31" s="19">
        <v>0</v>
      </c>
      <c r="K31" s="8">
        <f t="shared" si="0"/>
        <v>0</v>
      </c>
      <c r="L31" s="8">
        <f t="shared" si="1"/>
        <v>0</v>
      </c>
    </row>
    <row r="32" spans="1:12" x14ac:dyDescent="0.25">
      <c r="A32" s="5" t="s">
        <v>34</v>
      </c>
      <c r="B32" s="5" t="s">
        <v>42</v>
      </c>
      <c r="C32" s="30">
        <f t="shared" si="2"/>
        <v>0</v>
      </c>
      <c r="D32" s="20">
        <v>0</v>
      </c>
      <c r="E32" s="30">
        <f>+F32+G32+H32</f>
        <v>0</v>
      </c>
      <c r="F32" s="7">
        <v>0</v>
      </c>
      <c r="G32" s="7">
        <v>0</v>
      </c>
      <c r="H32" s="7">
        <v>0</v>
      </c>
      <c r="I32" s="17">
        <v>0</v>
      </c>
      <c r="K32" s="8">
        <f t="shared" si="0"/>
        <v>0</v>
      </c>
      <c r="L32" s="8">
        <f t="shared" si="1"/>
        <v>0</v>
      </c>
    </row>
    <row r="33" spans="1:19" x14ac:dyDescent="0.25">
      <c r="A33" s="5" t="s">
        <v>34</v>
      </c>
      <c r="B33" s="5" t="s">
        <v>43</v>
      </c>
      <c r="C33" s="30">
        <f t="shared" si="2"/>
        <v>0</v>
      </c>
      <c r="D33" s="20">
        <v>0</v>
      </c>
      <c r="E33" s="30">
        <f t="shared" si="3"/>
        <v>0</v>
      </c>
      <c r="F33" s="7">
        <v>0</v>
      </c>
      <c r="G33" s="7">
        <v>0</v>
      </c>
      <c r="H33" s="7">
        <v>0</v>
      </c>
      <c r="I33" s="17">
        <v>0</v>
      </c>
      <c r="K33" s="8">
        <f t="shared" si="0"/>
        <v>0</v>
      </c>
      <c r="L33" s="8">
        <f t="shared" si="1"/>
        <v>0</v>
      </c>
    </row>
    <row r="34" spans="1:19" x14ac:dyDescent="0.25">
      <c r="A34" s="5" t="s">
        <v>34</v>
      </c>
      <c r="B34" s="5" t="s">
        <v>44</v>
      </c>
      <c r="C34" s="30">
        <f>+D34+E34</f>
        <v>275</v>
      </c>
      <c r="D34" s="20">
        <f>113+150</f>
        <v>263</v>
      </c>
      <c r="E34" s="30">
        <f>+F34+G34+H34</f>
        <v>12</v>
      </c>
      <c r="F34" s="7">
        <v>0</v>
      </c>
      <c r="G34" s="7">
        <v>0</v>
      </c>
      <c r="H34" s="7">
        <f>4+8</f>
        <v>12</v>
      </c>
      <c r="I34" s="25">
        <f>+(117*2+158*1)/C34</f>
        <v>1.4254545454545455</v>
      </c>
      <c r="K34" s="8">
        <f t="shared" si="0"/>
        <v>263</v>
      </c>
      <c r="L34" s="8">
        <f t="shared" si="1"/>
        <v>12</v>
      </c>
    </row>
    <row r="35" spans="1:19" x14ac:dyDescent="0.25">
      <c r="A35" s="5" t="s">
        <v>34</v>
      </c>
      <c r="B35" s="5" t="s">
        <v>45</v>
      </c>
      <c r="C35" s="30">
        <f>+D35+E35</f>
        <v>229578</v>
      </c>
      <c r="D35" s="20">
        <f>161250+2281+65829+207</f>
        <v>229567</v>
      </c>
      <c r="E35" s="30">
        <f>+F35+G35+H35</f>
        <v>11</v>
      </c>
      <c r="F35" s="7">
        <v>0</v>
      </c>
      <c r="G35" s="7">
        <v>0</v>
      </c>
      <c r="H35" s="20">
        <f>9+2</f>
        <v>11</v>
      </c>
      <c r="I35" s="19">
        <f>+(161259*27+2281*30+65831*30+207*25)/C35</f>
        <v>27.888247131693802</v>
      </c>
      <c r="K35" s="8">
        <f>D35*0.001</f>
        <v>229.56700000000001</v>
      </c>
      <c r="L35" s="8">
        <f>H35*0.001</f>
        <v>1.0999999999999999E-2</v>
      </c>
    </row>
    <row r="36" spans="1:19" x14ac:dyDescent="0.25">
      <c r="A36" s="5" t="s">
        <v>34</v>
      </c>
      <c r="B36" s="5" t="s">
        <v>46</v>
      </c>
      <c r="C36" s="30">
        <f t="shared" si="2"/>
        <v>15</v>
      </c>
      <c r="D36" s="20">
        <f>13+2</f>
        <v>15</v>
      </c>
      <c r="E36" s="30">
        <f t="shared" si="3"/>
        <v>0</v>
      </c>
      <c r="F36" s="7">
        <v>0</v>
      </c>
      <c r="G36" s="7">
        <v>0</v>
      </c>
      <c r="H36" s="7">
        <v>0</v>
      </c>
      <c r="I36" s="19">
        <f>+(13*8+2*14)/D36</f>
        <v>8.8000000000000007</v>
      </c>
      <c r="K36" s="8">
        <f t="shared" ref="K36:K42" si="4">+D36</f>
        <v>15</v>
      </c>
      <c r="L36" s="8">
        <f t="shared" ref="L36:L42" si="5">+H36</f>
        <v>0</v>
      </c>
    </row>
    <row r="37" spans="1:19" x14ac:dyDescent="0.25">
      <c r="A37" s="5" t="s">
        <v>34</v>
      </c>
      <c r="B37" s="5" t="s">
        <v>47</v>
      </c>
      <c r="C37" s="30">
        <f t="shared" si="2"/>
        <v>239</v>
      </c>
      <c r="D37" s="20">
        <f>122+112</f>
        <v>234</v>
      </c>
      <c r="E37" s="30">
        <f t="shared" si="3"/>
        <v>5</v>
      </c>
      <c r="F37" s="7">
        <v>0</v>
      </c>
      <c r="G37" s="7">
        <v>0</v>
      </c>
      <c r="H37" s="7">
        <f>4+1</f>
        <v>5</v>
      </c>
      <c r="I37" s="19">
        <f>+(126*13+113*12)/C37</f>
        <v>12.527196652719665</v>
      </c>
      <c r="K37" s="8">
        <f t="shared" si="4"/>
        <v>234</v>
      </c>
      <c r="L37" s="8">
        <f t="shared" si="5"/>
        <v>5</v>
      </c>
    </row>
    <row r="38" spans="1:19" x14ac:dyDescent="0.25">
      <c r="A38" s="5" t="s">
        <v>34</v>
      </c>
      <c r="B38" s="5" t="s">
        <v>48</v>
      </c>
      <c r="C38" s="30">
        <f t="shared" si="2"/>
        <v>232</v>
      </c>
      <c r="D38" s="20">
        <f>154+1+77</f>
        <v>232</v>
      </c>
      <c r="E38" s="30">
        <f t="shared" si="3"/>
        <v>0</v>
      </c>
      <c r="F38" s="7">
        <v>0</v>
      </c>
      <c r="G38" s="7">
        <v>0</v>
      </c>
      <c r="H38" s="7">
        <v>0</v>
      </c>
      <c r="I38" s="19">
        <f>+(154*3+1*1+77*4)/C38</f>
        <v>3.3232758620689653</v>
      </c>
      <c r="K38" s="8">
        <f t="shared" si="4"/>
        <v>232</v>
      </c>
      <c r="L38" s="8">
        <f t="shared" si="5"/>
        <v>0</v>
      </c>
    </row>
    <row r="39" spans="1:19" x14ac:dyDescent="0.25">
      <c r="A39" s="5" t="s">
        <v>34</v>
      </c>
      <c r="B39" s="5" t="s">
        <v>49</v>
      </c>
      <c r="C39" s="30">
        <f t="shared" si="2"/>
        <v>120</v>
      </c>
      <c r="D39" s="20">
        <f>63+1+42</f>
        <v>106</v>
      </c>
      <c r="E39" s="30">
        <f t="shared" si="3"/>
        <v>14</v>
      </c>
      <c r="F39" s="7">
        <v>0</v>
      </c>
      <c r="G39" s="7">
        <v>0</v>
      </c>
      <c r="H39" s="7">
        <f>7+0+7</f>
        <v>14</v>
      </c>
      <c r="I39" s="19">
        <f>+(70*4+1*1+49*3+10*9+64*10)/C39</f>
        <v>9.65</v>
      </c>
      <c r="K39" s="8">
        <f t="shared" si="4"/>
        <v>106</v>
      </c>
      <c r="L39" s="8">
        <f t="shared" si="5"/>
        <v>14</v>
      </c>
    </row>
    <row r="40" spans="1:19" x14ac:dyDescent="0.25">
      <c r="A40" s="5" t="s">
        <v>34</v>
      </c>
      <c r="B40" s="5" t="s">
        <v>50</v>
      </c>
      <c r="C40" s="30">
        <f t="shared" si="2"/>
        <v>0</v>
      </c>
      <c r="D40" s="20">
        <v>0</v>
      </c>
      <c r="E40" s="30">
        <f t="shared" si="3"/>
        <v>0</v>
      </c>
      <c r="F40" s="7">
        <v>0</v>
      </c>
      <c r="G40" s="7">
        <v>0</v>
      </c>
      <c r="H40" s="7">
        <v>0</v>
      </c>
      <c r="I40" s="17">
        <v>0</v>
      </c>
      <c r="K40" s="8">
        <f t="shared" si="4"/>
        <v>0</v>
      </c>
      <c r="L40" s="8">
        <f t="shared" si="5"/>
        <v>0</v>
      </c>
    </row>
    <row r="41" spans="1:19" x14ac:dyDescent="0.25">
      <c r="A41" s="5" t="s">
        <v>34</v>
      </c>
      <c r="B41" s="5" t="s">
        <v>51</v>
      </c>
      <c r="C41" s="30">
        <f t="shared" si="2"/>
        <v>0</v>
      </c>
      <c r="D41" s="20">
        <v>0</v>
      </c>
      <c r="E41" s="30">
        <f t="shared" si="3"/>
        <v>0</v>
      </c>
      <c r="F41" s="7">
        <v>0</v>
      </c>
      <c r="G41" s="7">
        <v>0</v>
      </c>
      <c r="H41" s="7">
        <v>0</v>
      </c>
      <c r="I41" s="17">
        <v>0</v>
      </c>
      <c r="K41" s="8">
        <f t="shared" si="4"/>
        <v>0</v>
      </c>
      <c r="L41" s="8">
        <f t="shared" si="5"/>
        <v>0</v>
      </c>
    </row>
    <row r="42" spans="1:19" x14ac:dyDescent="0.25">
      <c r="A42" s="5" t="s">
        <v>34</v>
      </c>
      <c r="B42" s="5" t="s">
        <v>52</v>
      </c>
      <c r="C42" s="30">
        <f t="shared" si="2"/>
        <v>0</v>
      </c>
      <c r="D42" s="20">
        <v>0</v>
      </c>
      <c r="E42" s="30">
        <f t="shared" si="3"/>
        <v>0</v>
      </c>
      <c r="F42" s="7">
        <v>0</v>
      </c>
      <c r="G42" s="7">
        <v>0</v>
      </c>
      <c r="H42" s="7">
        <v>0</v>
      </c>
      <c r="I42" s="17">
        <v>0</v>
      </c>
      <c r="K42" s="8">
        <f t="shared" si="4"/>
        <v>0</v>
      </c>
      <c r="L42" s="8">
        <f t="shared" si="5"/>
        <v>0</v>
      </c>
    </row>
    <row r="43" spans="1:19" x14ac:dyDescent="0.25">
      <c r="A43" s="5" t="s">
        <v>34</v>
      </c>
      <c r="B43" s="5" t="s">
        <v>53</v>
      </c>
      <c r="C43" s="30">
        <f t="shared" si="2"/>
        <v>11675</v>
      </c>
      <c r="D43" s="20">
        <f>11652</f>
        <v>11652</v>
      </c>
      <c r="E43" s="30">
        <f t="shared" si="3"/>
        <v>23</v>
      </c>
      <c r="F43" s="7">
        <v>0</v>
      </c>
      <c r="G43" s="7">
        <v>0</v>
      </c>
      <c r="H43" s="7">
        <f>23</f>
        <v>23</v>
      </c>
      <c r="I43" s="19">
        <v>0</v>
      </c>
      <c r="K43" s="8">
        <f>D43*0.1</f>
        <v>1165.2</v>
      </c>
      <c r="L43" s="8">
        <f>H43*0.1</f>
        <v>2.3000000000000003</v>
      </c>
    </row>
    <row r="44" spans="1:19" x14ac:dyDescent="0.25">
      <c r="A44" s="5" t="s">
        <v>34</v>
      </c>
      <c r="B44" s="5" t="s">
        <v>54</v>
      </c>
      <c r="C44" s="30">
        <f>IF(I44="",0,D43+H43)</f>
        <v>11675</v>
      </c>
      <c r="D44" s="30">
        <f>10881</f>
        <v>10881</v>
      </c>
      <c r="E44" s="30">
        <f>+C44-D44</f>
        <v>794</v>
      </c>
      <c r="F44" s="17">
        <v>0</v>
      </c>
      <c r="G44" s="17">
        <v>0</v>
      </c>
      <c r="H44" s="17">
        <v>0</v>
      </c>
      <c r="I44" s="20">
        <f>+(6*(10881+794)/C43)</f>
        <v>6</v>
      </c>
      <c r="K44" s="8">
        <f>D44*0.1</f>
        <v>1088.1000000000001</v>
      </c>
      <c r="L44" s="8">
        <f>E44*0.1</f>
        <v>79.400000000000006</v>
      </c>
    </row>
    <row r="45" spans="1:19" x14ac:dyDescent="0.25">
      <c r="A45" s="5" t="s">
        <v>34</v>
      </c>
      <c r="B45" s="5" t="s">
        <v>66</v>
      </c>
      <c r="C45" s="20">
        <f>+(688+470+380+498+769+554)+(1498+1175+1511+1544+1558+1410+2141+2012+2139+2642+2631+1946)</f>
        <v>25566</v>
      </c>
      <c r="D45" s="20">
        <f>+(609+433+353+451+704+493)+(1329+1093+1397+1399+1407+1197+1722+1694+1920+2302+2427+1836)</f>
        <v>22766</v>
      </c>
      <c r="E45" s="30">
        <f>+C45-D45</f>
        <v>2800</v>
      </c>
      <c r="F45" s="17">
        <v>0</v>
      </c>
      <c r="G45" s="17">
        <v>0</v>
      </c>
      <c r="H45" s="17">
        <v>0</v>
      </c>
      <c r="I45" s="22">
        <f>IF(ISERROR(D45/C45),"",D45/C45)</f>
        <v>0.89047954314323707</v>
      </c>
      <c r="K45" s="8">
        <f>D45*0.01</f>
        <v>227.66</v>
      </c>
      <c r="L45" s="8">
        <f>E45*0.01</f>
        <v>28</v>
      </c>
    </row>
    <row r="46" spans="1:19" x14ac:dyDescent="0.25">
      <c r="A46" s="5" t="s">
        <v>34</v>
      </c>
      <c r="B46" s="5" t="s">
        <v>67</v>
      </c>
      <c r="C46" s="30">
        <f>IF(I46="",0,C45)</f>
        <v>25566</v>
      </c>
      <c r="D46" s="30">
        <f>+C46*I46</f>
        <v>25563.264058429235</v>
      </c>
      <c r="E46" s="30">
        <f>+C46-D46</f>
        <v>2.7359415707651351</v>
      </c>
      <c r="F46" s="17">
        <v>0</v>
      </c>
      <c r="G46" s="17">
        <v>0</v>
      </c>
      <c r="H46" s="17">
        <v>0</v>
      </c>
      <c r="I46" s="23">
        <f>((0.9984*609+1*433+353*1+451*1+704*1+493*1)+(0.9989*1329+1*1093+1*1397+1*1399+1*1407+1*1197+1*1722+1*1694+1*1920+1*2302+1*2427+1*1836))/D45</f>
        <v>0.99989298515329872</v>
      </c>
      <c r="K46" s="8">
        <f t="shared" ref="K46:L47" si="6">D46*0.01</f>
        <v>255.63264058429235</v>
      </c>
      <c r="L46" s="8">
        <f t="shared" si="6"/>
        <v>2.7359415707651352E-2</v>
      </c>
      <c r="S46" s="10"/>
    </row>
    <row r="47" spans="1:19" x14ac:dyDescent="0.25">
      <c r="A47" s="5" t="s">
        <v>34</v>
      </c>
      <c r="B47" s="5" t="s">
        <v>71</v>
      </c>
      <c r="C47" s="30">
        <f>IF(I47="",0,C45)</f>
        <v>25566</v>
      </c>
      <c r="D47" s="30">
        <f>(1-(I47/4800))*C47</f>
        <v>24960.846874999999</v>
      </c>
      <c r="E47" s="30">
        <f>+C47-D47</f>
        <v>605.15312500000073</v>
      </c>
      <c r="F47" s="17">
        <v>0</v>
      </c>
      <c r="G47" s="17">
        <v>0</v>
      </c>
      <c r="H47" s="17">
        <v>0</v>
      </c>
      <c r="I47" s="20">
        <f>+((79*688)+(62*470)+(58*380)+(73*498)+(80*769)+(90*554)+(109*1498)+(81*1175)+(87*1511)+(96*1544)+(104*1558)+(124*1410)+(168*2141)+(151*2012)+(125*2139)+(135*2642)+(120*2631)+(89*1946))/C46</f>
        <v>113.61710865993898</v>
      </c>
      <c r="K47" s="8">
        <f t="shared" si="6"/>
        <v>249.60846874999999</v>
      </c>
      <c r="L47" s="8">
        <f t="shared" si="6"/>
        <v>6.0515312500000071</v>
      </c>
    </row>
    <row r="48" spans="1:19" x14ac:dyDescent="0.25">
      <c r="A48" s="5" t="s">
        <v>34</v>
      </c>
      <c r="B48" s="5" t="s">
        <v>75</v>
      </c>
      <c r="C48" s="30">
        <f t="shared" si="2"/>
        <v>7504</v>
      </c>
      <c r="D48" s="20">
        <v>7157</v>
      </c>
      <c r="E48" s="30">
        <v>347</v>
      </c>
      <c r="F48" s="7">
        <v>0</v>
      </c>
      <c r="G48" s="7">
        <v>0</v>
      </c>
      <c r="H48" s="7">
        <v>347</v>
      </c>
      <c r="I48" s="19">
        <v>44.728544776119406</v>
      </c>
      <c r="K48" s="8">
        <f>D48*0.1</f>
        <v>715.7</v>
      </c>
      <c r="L48" s="8">
        <f>H48*0.1</f>
        <v>34.700000000000003</v>
      </c>
      <c r="M48" s="3"/>
    </row>
    <row r="50" spans="2:12" s="12" customFormat="1" ht="32.25" customHeight="1" x14ac:dyDescent="0.25">
      <c r="B50" s="72" t="s">
        <v>63</v>
      </c>
      <c r="C50" s="72"/>
      <c r="D50" s="11" t="s">
        <v>58</v>
      </c>
      <c r="E50" s="11" t="s">
        <v>59</v>
      </c>
      <c r="I50" s="18"/>
      <c r="J50" s="73" t="s">
        <v>60</v>
      </c>
      <c r="K50" s="74"/>
      <c r="L50" s="75"/>
    </row>
    <row r="51" spans="2:12" x14ac:dyDescent="0.25">
      <c r="B51" s="13" t="s">
        <v>15</v>
      </c>
      <c r="C51" s="14">
        <f>IF(ISERROR(K51/(K51+L51)),"N/A",K51/(K51+L51))</f>
        <v>0.99292786421499291</v>
      </c>
      <c r="D51" s="15" t="str">
        <f>+IF(C51="N/A",C51,IF(C51&gt;98%,"A",IF(AND(C51&lt;=98%,C51&gt;90%),"B","C")))</f>
        <v>A</v>
      </c>
      <c r="E51" s="14" t="str">
        <f>+IF(C51="N/A",C51,IF(C51&gt;98%,"mantenimento",IF(AND(C51&lt;=98%,C51&gt;90%),C51+1%,C51+3%)))</f>
        <v>mantenimento</v>
      </c>
      <c r="J51" s="13" t="s">
        <v>15</v>
      </c>
      <c r="K51" s="8">
        <f>+SUMIF(A7:A48,"MC1",K7:K48)</f>
        <v>4914</v>
      </c>
      <c r="L51" s="8">
        <f>SUMIF(A7:A48,"MC1",L7:L48)</f>
        <v>35</v>
      </c>
    </row>
    <row r="52" spans="2:12" x14ac:dyDescent="0.25">
      <c r="B52" s="13" t="s">
        <v>34</v>
      </c>
      <c r="C52" s="14">
        <f>IF(ISERROR(K52/(K52+L52)),"N/A",K52/(K52+L52))</f>
        <v>0.9657032752406759</v>
      </c>
      <c r="D52" s="15" t="str">
        <f>+IF(C52="N/A",C52,IF(C52&gt;95%,"A",IF(AND(C52&lt;=95%,C52&gt;90%),"B","C")))</f>
        <v>A</v>
      </c>
      <c r="E52" s="14" t="str">
        <f>+IF(C52="N/A",C52,IF(C52&gt;95%,"mantenimento",IF(AND(C52&lt;=95%,C52&gt;90%),C52+1%,C52+3%)))</f>
        <v>mantenimento</v>
      </c>
      <c r="J52" s="13" t="s">
        <v>34</v>
      </c>
      <c r="K52" s="8">
        <f>SUMIF(A7:A48,"MC2",K7:K48)</f>
        <v>5504.4681093342915</v>
      </c>
      <c r="L52" s="8">
        <f>SUMIF(A7:A48,"MC2",L7:L48)</f>
        <v>195.48989066570766</v>
      </c>
    </row>
  </sheetData>
  <mergeCells count="14">
    <mergeCell ref="J50:L50"/>
    <mergeCell ref="C1:D1"/>
    <mergeCell ref="C2:D2"/>
    <mergeCell ref="C3:D3"/>
    <mergeCell ref="E5:E6"/>
    <mergeCell ref="F5:H5"/>
    <mergeCell ref="I5:I6"/>
    <mergeCell ref="K5:K6"/>
    <mergeCell ref="L5:L6"/>
    <mergeCell ref="A5:A6"/>
    <mergeCell ref="B5:B6"/>
    <mergeCell ref="C5:C6"/>
    <mergeCell ref="D5:D6"/>
    <mergeCell ref="B50:C50"/>
  </mergeCells>
  <conditionalFormatting sqref="C48 C7:C43 E48 E7:E43 K7:L48">
    <cfRule type="cellIs" dxfId="99" priority="20" operator="lessThan">
      <formula>0</formula>
    </cfRule>
    <cfRule type="cellIs" dxfId="98" priority="22" operator="lessThan">
      <formula>0</formula>
    </cfRule>
  </conditionalFormatting>
  <conditionalFormatting sqref="C27:C32">
    <cfRule type="cellIs" dxfId="97" priority="21" operator="lessThan">
      <formula>-2</formula>
    </cfRule>
  </conditionalFormatting>
  <conditionalFormatting sqref="K51:L52">
    <cfRule type="cellIs" dxfId="96" priority="18" operator="lessThan">
      <formula>0</formula>
    </cfRule>
    <cfRule type="cellIs" dxfId="95" priority="19" operator="lessThan">
      <formula>0</formula>
    </cfRule>
  </conditionalFormatting>
  <conditionalFormatting sqref="C51">
    <cfRule type="cellIs" dxfId="94" priority="16" operator="lessThan">
      <formula>0</formula>
    </cfRule>
    <cfRule type="cellIs" dxfId="93" priority="17" operator="lessThan">
      <formula>0</formula>
    </cfRule>
  </conditionalFormatting>
  <conditionalFormatting sqref="D51">
    <cfRule type="cellIs" dxfId="92" priority="14" operator="lessThan">
      <formula>0</formula>
    </cfRule>
    <cfRule type="cellIs" dxfId="91" priority="15" operator="lessThan">
      <formula>0</formula>
    </cfRule>
  </conditionalFormatting>
  <conditionalFormatting sqref="K7:L48 C7:H17 H18:H43 C18:E47 C48:H48">
    <cfRule type="cellIs" dxfId="90" priority="13" operator="lessThan">
      <formula>0</formula>
    </cfRule>
  </conditionalFormatting>
  <conditionalFormatting sqref="I44 K51:L52 I47">
    <cfRule type="cellIs" dxfId="89" priority="12" operator="lessThan">
      <formula>0</formula>
    </cfRule>
  </conditionalFormatting>
  <conditionalFormatting sqref="I45">
    <cfRule type="cellIs" dxfId="88" priority="11" operator="lessThan">
      <formula>0</formula>
    </cfRule>
  </conditionalFormatting>
  <conditionalFormatting sqref="C52">
    <cfRule type="cellIs" dxfId="87" priority="9" operator="lessThan">
      <formula>0</formula>
    </cfRule>
    <cfRule type="cellIs" dxfId="86" priority="10" operator="lessThan">
      <formula>0</formula>
    </cfRule>
  </conditionalFormatting>
  <conditionalFormatting sqref="E51">
    <cfRule type="cellIs" dxfId="85" priority="7" operator="lessThan">
      <formula>0</formula>
    </cfRule>
    <cfRule type="cellIs" dxfId="84" priority="8" operator="lessThan">
      <formula>0</formula>
    </cfRule>
  </conditionalFormatting>
  <conditionalFormatting sqref="D52">
    <cfRule type="cellIs" dxfId="83" priority="5" operator="lessThan">
      <formula>0</formula>
    </cfRule>
    <cfRule type="cellIs" dxfId="82" priority="6" operator="lessThan">
      <formula>0</formula>
    </cfRule>
  </conditionalFormatting>
  <conditionalFormatting sqref="E52">
    <cfRule type="cellIs" dxfId="81" priority="3" operator="lessThan">
      <formula>0</formula>
    </cfRule>
    <cfRule type="cellIs" dxfId="80" priority="4" operator="lessThan">
      <formula>0</formula>
    </cfRule>
  </conditionalFormatting>
  <conditionalFormatting sqref="G18:G43">
    <cfRule type="cellIs" dxfId="79" priority="2" operator="lessThan">
      <formula>0</formula>
    </cfRule>
  </conditionalFormatting>
  <conditionalFormatting sqref="F18:F43">
    <cfRule type="cellIs" dxfId="78" priority="1" operator="lessThan">
      <formula>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1602-E684-4FC7-B7A4-D2B1FE6497FA}">
  <dimension ref="A1:S52"/>
  <sheetViews>
    <sheetView topLeftCell="A13" zoomScale="80" zoomScaleNormal="80" workbookViewId="0">
      <selection activeCell="D48" sqref="D48:I48"/>
    </sheetView>
  </sheetViews>
  <sheetFormatPr defaultColWidth="9.140625" defaultRowHeight="15" x14ac:dyDescent="0.25"/>
  <cols>
    <col min="1" max="1" width="8" customWidth="1"/>
    <col min="2" max="2" width="71.7109375" customWidth="1"/>
    <col min="3" max="4" width="12.28515625" customWidth="1"/>
    <col min="5" max="5" width="13.5703125" customWidth="1"/>
    <col min="6" max="6" width="10.42578125" customWidth="1"/>
    <col min="7" max="7" width="14.5703125" customWidth="1"/>
    <col min="8" max="8" width="9.42578125" customWidth="1"/>
    <col min="9" max="9" width="10.140625" style="16" customWidth="1"/>
    <col min="10" max="10" width="6.28515625" customWidth="1"/>
    <col min="11" max="12" width="11" customWidth="1"/>
  </cols>
  <sheetData>
    <row r="1" spans="1:12" ht="18.75" x14ac:dyDescent="0.3">
      <c r="B1" s="1" t="s">
        <v>61</v>
      </c>
      <c r="C1" s="76" t="s">
        <v>0</v>
      </c>
      <c r="D1" s="76"/>
      <c r="E1" s="2"/>
    </row>
    <row r="2" spans="1:12" x14ac:dyDescent="0.25">
      <c r="B2" t="s">
        <v>1</v>
      </c>
      <c r="C2" s="76" t="s">
        <v>2</v>
      </c>
      <c r="D2" s="76"/>
      <c r="E2" s="2"/>
    </row>
    <row r="3" spans="1:12" x14ac:dyDescent="0.25">
      <c r="B3" t="s">
        <v>68</v>
      </c>
      <c r="C3" s="76" t="s">
        <v>3</v>
      </c>
      <c r="D3" s="76"/>
      <c r="E3" s="2"/>
    </row>
    <row r="4" spans="1:12" x14ac:dyDescent="0.25">
      <c r="C4" s="3"/>
      <c r="D4" s="3"/>
    </row>
    <row r="5" spans="1:12" ht="35.25" customHeight="1" x14ac:dyDescent="0.25">
      <c r="A5" s="71" t="s">
        <v>4</v>
      </c>
      <c r="B5" s="71" t="s">
        <v>5</v>
      </c>
      <c r="C5" s="71" t="s">
        <v>6</v>
      </c>
      <c r="D5" s="71" t="s">
        <v>7</v>
      </c>
      <c r="E5" s="71" t="s">
        <v>8</v>
      </c>
      <c r="F5" s="71" t="s">
        <v>9</v>
      </c>
      <c r="G5" s="71"/>
      <c r="H5" s="71"/>
      <c r="I5" s="77" t="s">
        <v>64</v>
      </c>
      <c r="K5" s="71" t="s">
        <v>10</v>
      </c>
      <c r="L5" s="71" t="s">
        <v>11</v>
      </c>
    </row>
    <row r="6" spans="1:12" ht="56.25" x14ac:dyDescent="0.25">
      <c r="A6" s="71"/>
      <c r="B6" s="71"/>
      <c r="C6" s="71"/>
      <c r="D6" s="71"/>
      <c r="E6" s="71"/>
      <c r="F6" s="4" t="s">
        <v>12</v>
      </c>
      <c r="G6" s="4" t="s">
        <v>13</v>
      </c>
      <c r="H6" s="4" t="s">
        <v>14</v>
      </c>
      <c r="I6" s="77"/>
      <c r="K6" s="71"/>
      <c r="L6" s="71"/>
    </row>
    <row r="7" spans="1:12" x14ac:dyDescent="0.25">
      <c r="A7" s="5" t="s">
        <v>15</v>
      </c>
      <c r="B7" s="5" t="s">
        <v>16</v>
      </c>
      <c r="C7" s="30">
        <f>'Totale LTA'!F7-Sud!C7</f>
        <v>0</v>
      </c>
      <c r="D7" s="20">
        <f>'Totale LTA'!G7-Sud!D7</f>
        <v>0</v>
      </c>
      <c r="E7" s="30">
        <f>'Totale LTA'!H7-Sud!E7</f>
        <v>0</v>
      </c>
      <c r="F7" s="7">
        <f>'Totale LTA'!I7-Sud!F7</f>
        <v>0</v>
      </c>
      <c r="G7" s="7">
        <f>'Totale LTA'!J7-Sud!G7</f>
        <v>0</v>
      </c>
      <c r="H7" s="7">
        <f>'Totale LTA'!K7-Sud!H7</f>
        <v>0</v>
      </c>
      <c r="I7" s="17">
        <v>0</v>
      </c>
      <c r="K7" s="8">
        <f>+D7</f>
        <v>0</v>
      </c>
      <c r="L7" s="8">
        <f>+H7</f>
        <v>0</v>
      </c>
    </row>
    <row r="8" spans="1:12" x14ac:dyDescent="0.25">
      <c r="A8" s="5" t="s">
        <v>15</v>
      </c>
      <c r="B8" s="5" t="s">
        <v>17</v>
      </c>
      <c r="C8" s="30">
        <f>'Totale LTA'!F8-Sud!C8</f>
        <v>49</v>
      </c>
      <c r="D8" s="20">
        <f>'Totale LTA'!G8-Sud!D8</f>
        <v>47</v>
      </c>
      <c r="E8" s="30">
        <f>'Totale LTA'!H8-Sud!E8</f>
        <v>2</v>
      </c>
      <c r="F8" s="7">
        <f>'Totale LTA'!I8-Sud!F8</f>
        <v>0</v>
      </c>
      <c r="G8" s="7">
        <f>'Totale LTA'!J8-Sud!G8</f>
        <v>0</v>
      </c>
      <c r="H8" s="7">
        <f>'Totale LTA'!K8-Sud!H8</f>
        <v>2</v>
      </c>
      <c r="I8" s="19">
        <f>(45*9+8*4)/C8</f>
        <v>8.9183673469387763</v>
      </c>
      <c r="K8" s="8">
        <f t="shared" ref="K8:K34" si="0">+D8</f>
        <v>47</v>
      </c>
      <c r="L8" s="8">
        <f t="shared" ref="L8:L34" si="1">+H8</f>
        <v>2</v>
      </c>
    </row>
    <row r="9" spans="1:12" x14ac:dyDescent="0.25">
      <c r="A9" s="5" t="s">
        <v>15</v>
      </c>
      <c r="B9" s="5" t="s">
        <v>18</v>
      </c>
      <c r="C9" s="30">
        <f>'Totale LTA'!F9-Sud!C9</f>
        <v>0</v>
      </c>
      <c r="D9" s="20">
        <f>'Totale LTA'!G9-Sud!D9</f>
        <v>0</v>
      </c>
      <c r="E9" s="30">
        <f>'Totale LTA'!H9-Sud!E9</f>
        <v>0</v>
      </c>
      <c r="F9" s="7">
        <f>'Totale LTA'!I9-Sud!F9</f>
        <v>0</v>
      </c>
      <c r="G9" s="7">
        <f>'Totale LTA'!J9-Sud!G9</f>
        <v>0</v>
      </c>
      <c r="H9" s="7">
        <f>'Totale LTA'!K9-Sud!H9</f>
        <v>0</v>
      </c>
      <c r="I9" s="17">
        <v>0</v>
      </c>
      <c r="K9" s="8">
        <f t="shared" si="0"/>
        <v>0</v>
      </c>
      <c r="L9" s="8">
        <f t="shared" si="1"/>
        <v>0</v>
      </c>
    </row>
    <row r="10" spans="1:12" x14ac:dyDescent="0.25">
      <c r="A10" s="5" t="s">
        <v>15</v>
      </c>
      <c r="B10" s="5" t="s">
        <v>19</v>
      </c>
      <c r="C10" s="30">
        <f>'Totale LTA'!F10-Sud!C10</f>
        <v>133</v>
      </c>
      <c r="D10" s="20">
        <f>'Totale LTA'!G10-Sud!D10</f>
        <v>132</v>
      </c>
      <c r="E10" s="30">
        <f>'Totale LTA'!H10-Sud!E10</f>
        <v>1</v>
      </c>
      <c r="F10" s="7">
        <f>'Totale LTA'!I10-Sud!F10</f>
        <v>0</v>
      </c>
      <c r="G10" s="7">
        <f>'Totale LTA'!J10-Sud!G10</f>
        <v>0</v>
      </c>
      <c r="H10" s="7">
        <f>'Totale LTA'!K10-Sud!H10</f>
        <v>1</v>
      </c>
      <c r="I10" s="19">
        <f>+(97*7+1*6+35*5)/C10</f>
        <v>6.4661654135338349</v>
      </c>
      <c r="K10" s="8">
        <f t="shared" si="0"/>
        <v>132</v>
      </c>
      <c r="L10" s="8">
        <f t="shared" si="1"/>
        <v>1</v>
      </c>
    </row>
    <row r="11" spans="1:12" x14ac:dyDescent="0.25">
      <c r="A11" s="5" t="s">
        <v>15</v>
      </c>
      <c r="B11" s="5" t="s">
        <v>20</v>
      </c>
      <c r="C11" s="30">
        <f>'Totale LTA'!F11-Sud!C11</f>
        <v>0</v>
      </c>
      <c r="D11" s="20">
        <f>'Totale LTA'!G11-Sud!D11</f>
        <v>0</v>
      </c>
      <c r="E11" s="30">
        <f>'Totale LTA'!H11-Sud!E11</f>
        <v>0</v>
      </c>
      <c r="F11" s="7">
        <f>'Totale LTA'!I11-Sud!F11</f>
        <v>0</v>
      </c>
      <c r="G11" s="7">
        <f>'Totale LTA'!J11-Sud!G11</f>
        <v>0</v>
      </c>
      <c r="H11" s="7">
        <f>'Totale LTA'!K11-Sud!H11</f>
        <v>0</v>
      </c>
      <c r="I11" s="17">
        <v>0</v>
      </c>
      <c r="K11" s="8">
        <f t="shared" si="0"/>
        <v>0</v>
      </c>
      <c r="L11" s="8">
        <f t="shared" si="1"/>
        <v>0</v>
      </c>
    </row>
    <row r="12" spans="1:12" x14ac:dyDescent="0.25">
      <c r="A12" s="5" t="s">
        <v>15</v>
      </c>
      <c r="B12" s="5" t="s">
        <v>21</v>
      </c>
      <c r="C12" s="30">
        <f>'Totale LTA'!F12-Sud!C12</f>
        <v>181</v>
      </c>
      <c r="D12" s="20">
        <f>'Totale LTA'!G12-Sud!D12</f>
        <v>179</v>
      </c>
      <c r="E12" s="30">
        <f>'Totale LTA'!H12-Sud!E12</f>
        <v>2</v>
      </c>
      <c r="F12" s="7">
        <f>'Totale LTA'!I12-Sud!F12</f>
        <v>0</v>
      </c>
      <c r="G12" s="7">
        <f>'Totale LTA'!J12-Sud!G12</f>
        <v>0</v>
      </c>
      <c r="H12" s="7">
        <f>'Totale LTA'!K12-Sud!H12</f>
        <v>2</v>
      </c>
      <c r="I12" s="19">
        <f>+(144*7+37*5)/C12</f>
        <v>6.5911602209944755</v>
      </c>
      <c r="K12" s="8">
        <f t="shared" si="0"/>
        <v>179</v>
      </c>
      <c r="L12" s="8">
        <f t="shared" si="1"/>
        <v>2</v>
      </c>
    </row>
    <row r="13" spans="1:12" x14ac:dyDescent="0.25">
      <c r="A13" s="5" t="s">
        <v>15</v>
      </c>
      <c r="B13" s="5" t="s">
        <v>22</v>
      </c>
      <c r="C13" s="30">
        <f>'Totale LTA'!F13-Sud!C13</f>
        <v>0</v>
      </c>
      <c r="D13" s="20">
        <f>'Totale LTA'!G13-Sud!D13</f>
        <v>0</v>
      </c>
      <c r="E13" s="30">
        <f>'Totale LTA'!H13-Sud!E13</f>
        <v>0</v>
      </c>
      <c r="F13" s="7">
        <f>'Totale LTA'!I13-Sud!F13</f>
        <v>0</v>
      </c>
      <c r="G13" s="7">
        <f>'Totale LTA'!J13-Sud!G13</f>
        <v>0</v>
      </c>
      <c r="H13" s="7">
        <f>'Totale LTA'!K13-Sud!H13</f>
        <v>0</v>
      </c>
      <c r="I13" s="17">
        <v>0</v>
      </c>
      <c r="K13" s="8">
        <f t="shared" si="0"/>
        <v>0</v>
      </c>
      <c r="L13" s="8">
        <f t="shared" si="1"/>
        <v>0</v>
      </c>
    </row>
    <row r="14" spans="1:12" x14ac:dyDescent="0.25">
      <c r="A14" s="5" t="s">
        <v>15</v>
      </c>
      <c r="B14" s="5" t="s">
        <v>23</v>
      </c>
      <c r="C14" s="30">
        <f>'Totale LTA'!F14-Sud!C14</f>
        <v>0</v>
      </c>
      <c r="D14" s="20">
        <f>'Totale LTA'!G14-Sud!D14</f>
        <v>0</v>
      </c>
      <c r="E14" s="30">
        <f>'Totale LTA'!H14-Sud!E14</f>
        <v>0</v>
      </c>
      <c r="F14" s="7">
        <f>'Totale LTA'!I14-Sud!F14</f>
        <v>0</v>
      </c>
      <c r="G14" s="7">
        <f>'Totale LTA'!J14-Sud!G14</f>
        <v>0</v>
      </c>
      <c r="H14" s="7">
        <f>'Totale LTA'!K14-Sud!H14</f>
        <v>0</v>
      </c>
      <c r="I14" s="17">
        <v>0</v>
      </c>
      <c r="K14" s="8">
        <f t="shared" si="0"/>
        <v>0</v>
      </c>
      <c r="L14" s="8">
        <f t="shared" si="1"/>
        <v>0</v>
      </c>
    </row>
    <row r="15" spans="1:12" x14ac:dyDescent="0.25">
      <c r="A15" s="5" t="s">
        <v>15</v>
      </c>
      <c r="B15" s="5" t="s">
        <v>24</v>
      </c>
      <c r="C15" s="30">
        <f>'Totale LTA'!F15-Sud!C15</f>
        <v>103</v>
      </c>
      <c r="D15" s="20">
        <f>'Totale LTA'!G15-Sud!D15</f>
        <v>100</v>
      </c>
      <c r="E15" s="30">
        <f>'Totale LTA'!H15-Sud!E15</f>
        <v>3</v>
      </c>
      <c r="F15" s="7">
        <f>'Totale LTA'!I15-Sud!F15</f>
        <v>0</v>
      </c>
      <c r="G15" s="7">
        <f>'Totale LTA'!J15-Sud!G15</f>
        <v>0</v>
      </c>
      <c r="H15" s="7">
        <f>'Totale LTA'!K15-Sud!H15</f>
        <v>3</v>
      </c>
      <c r="I15" s="19">
        <f>+(76*6+27*6)/C15</f>
        <v>6</v>
      </c>
      <c r="K15" s="8">
        <f t="shared" si="0"/>
        <v>100</v>
      </c>
      <c r="L15" s="8">
        <f t="shared" si="1"/>
        <v>3</v>
      </c>
    </row>
    <row r="16" spans="1:12" x14ac:dyDescent="0.25">
      <c r="A16" s="5" t="s">
        <v>15</v>
      </c>
      <c r="B16" s="5" t="s">
        <v>25</v>
      </c>
      <c r="C16" s="30">
        <f>'Totale LTA'!F16-Sud!C16</f>
        <v>93</v>
      </c>
      <c r="D16" s="20">
        <f>'Totale LTA'!G16-Sud!D16</f>
        <v>93</v>
      </c>
      <c r="E16" s="30">
        <f>'Totale LTA'!H16-Sud!E16</f>
        <v>0</v>
      </c>
      <c r="F16" s="7">
        <f>'Totale LTA'!I16-Sud!F16</f>
        <v>0</v>
      </c>
      <c r="G16" s="7">
        <f>'Totale LTA'!J16-Sud!G16</f>
        <v>0</v>
      </c>
      <c r="H16" s="7">
        <f>'Totale LTA'!K16-Sud!H16</f>
        <v>0</v>
      </c>
      <c r="I16" s="19">
        <f>+(74*15+1*7+18*12)/C16</f>
        <v>14.333333333333334</v>
      </c>
      <c r="K16" s="8">
        <f t="shared" si="0"/>
        <v>93</v>
      </c>
      <c r="L16" s="8">
        <f t="shared" si="1"/>
        <v>0</v>
      </c>
    </row>
    <row r="17" spans="1:12" x14ac:dyDescent="0.25">
      <c r="A17" s="5" t="s">
        <v>15</v>
      </c>
      <c r="B17" s="5" t="s">
        <v>26</v>
      </c>
      <c r="C17" s="30">
        <f>'Totale LTA'!F17-Sud!C17</f>
        <v>33</v>
      </c>
      <c r="D17" s="20">
        <f>'Totale LTA'!G17-Sud!D17</f>
        <v>31</v>
      </c>
      <c r="E17" s="30">
        <f>'Totale LTA'!H17-Sud!E17</f>
        <v>2</v>
      </c>
      <c r="F17" s="7">
        <f>'Totale LTA'!I17-Sud!F17</f>
        <v>0</v>
      </c>
      <c r="G17" s="7">
        <f>'Totale LTA'!J17-Sud!G17</f>
        <v>0</v>
      </c>
      <c r="H17" s="7">
        <f>'Totale LTA'!K17-Sud!H17</f>
        <v>2</v>
      </c>
      <c r="I17" s="19">
        <f>+((27*12+4*13))/C17</f>
        <v>11.393939393939394</v>
      </c>
      <c r="K17" s="8">
        <f t="shared" si="0"/>
        <v>31</v>
      </c>
      <c r="L17" s="8">
        <f t="shared" si="1"/>
        <v>2</v>
      </c>
    </row>
    <row r="18" spans="1:12" x14ac:dyDescent="0.25">
      <c r="A18" s="5" t="s">
        <v>15</v>
      </c>
      <c r="B18" s="5" t="s">
        <v>27</v>
      </c>
      <c r="C18" s="30">
        <f>'Totale LTA'!F18-Sud!C18</f>
        <v>72</v>
      </c>
      <c r="D18" s="20">
        <f>'Totale LTA'!G18-Sud!D18</f>
        <v>72</v>
      </c>
      <c r="E18" s="30">
        <f>'Totale LTA'!H18-Sud!E18</f>
        <v>0</v>
      </c>
      <c r="F18" s="7">
        <f>'Totale LTA'!I18-Sud!F18</f>
        <v>0</v>
      </c>
      <c r="G18" s="7">
        <f>'Totale LTA'!J18-Sud!G18</f>
        <v>0</v>
      </c>
      <c r="H18" s="7">
        <f>'Totale LTA'!K18-Sud!H18</f>
        <v>0</v>
      </c>
      <c r="I18" s="19">
        <f>+(57*12+15*24)/C18</f>
        <v>14.5</v>
      </c>
      <c r="K18" s="8">
        <f t="shared" si="0"/>
        <v>72</v>
      </c>
      <c r="L18" s="8">
        <f t="shared" si="1"/>
        <v>0</v>
      </c>
    </row>
    <row r="19" spans="1:12" x14ac:dyDescent="0.25">
      <c r="A19" s="5" t="s">
        <v>15</v>
      </c>
      <c r="B19" s="5" t="s">
        <v>28</v>
      </c>
      <c r="C19" s="30">
        <f>'Totale LTA'!F19-Sud!C19</f>
        <v>95</v>
      </c>
      <c r="D19" s="20">
        <f>'Totale LTA'!G19-Sud!D19</f>
        <v>95</v>
      </c>
      <c r="E19" s="30">
        <f>'Totale LTA'!H19-Sud!E19</f>
        <v>0</v>
      </c>
      <c r="F19" s="7">
        <f>'Totale LTA'!I19-Sud!F19</f>
        <v>0</v>
      </c>
      <c r="G19" s="7">
        <f>'Totale LTA'!J19-Sud!G19</f>
        <v>0</v>
      </c>
      <c r="H19" s="7">
        <f>'Totale LTA'!K19-Sud!H19</f>
        <v>0</v>
      </c>
      <c r="I19" s="19">
        <f>(76*0+1*0+18*0)/C19</f>
        <v>0</v>
      </c>
      <c r="K19" s="8">
        <f t="shared" si="0"/>
        <v>95</v>
      </c>
      <c r="L19" s="8">
        <f t="shared" si="1"/>
        <v>0</v>
      </c>
    </row>
    <row r="20" spans="1:12" x14ac:dyDescent="0.25">
      <c r="A20" s="5" t="s">
        <v>15</v>
      </c>
      <c r="B20" s="5" t="s">
        <v>29</v>
      </c>
      <c r="C20" s="30">
        <f>'Totale LTA'!F20-Sud!C20</f>
        <v>388</v>
      </c>
      <c r="D20" s="20">
        <f>'Totale LTA'!G20-Sud!D20</f>
        <v>384</v>
      </c>
      <c r="E20" s="30">
        <f>'Totale LTA'!H20-Sud!E20</f>
        <v>4</v>
      </c>
      <c r="F20" s="7">
        <f>'Totale LTA'!I20-Sud!F20</f>
        <v>0</v>
      </c>
      <c r="G20" s="7">
        <f>'Totale LTA'!J20-Sud!G20</f>
        <v>0</v>
      </c>
      <c r="H20" s="7">
        <f>'Totale LTA'!K20-Sud!H20</f>
        <v>4</v>
      </c>
      <c r="I20" s="19">
        <f>+(323*2+2*3+62*2)/C20</f>
        <v>2</v>
      </c>
      <c r="K20" s="8">
        <f t="shared" si="0"/>
        <v>384</v>
      </c>
      <c r="L20" s="8">
        <f t="shared" si="1"/>
        <v>4</v>
      </c>
    </row>
    <row r="21" spans="1:12" x14ac:dyDescent="0.25">
      <c r="A21" s="5" t="s">
        <v>15</v>
      </c>
      <c r="B21" s="5" t="s">
        <v>30</v>
      </c>
      <c r="C21" s="30">
        <f>'Totale LTA'!F21-Sud!C21</f>
        <v>0</v>
      </c>
      <c r="D21" s="20">
        <f>'Totale LTA'!G21-Sud!D21</f>
        <v>0</v>
      </c>
      <c r="E21" s="30">
        <f>'Totale LTA'!H21-Sud!E21</f>
        <v>0</v>
      </c>
      <c r="F21" s="7">
        <f>'Totale LTA'!I21-Sud!F21</f>
        <v>0</v>
      </c>
      <c r="G21" s="7">
        <f>'Totale LTA'!J21-Sud!G21</f>
        <v>0</v>
      </c>
      <c r="H21" s="7">
        <f>'Totale LTA'!K21-Sud!H21</f>
        <v>0</v>
      </c>
      <c r="I21" s="17">
        <v>0</v>
      </c>
      <c r="K21" s="8">
        <f t="shared" si="0"/>
        <v>0</v>
      </c>
      <c r="L21" s="8">
        <f t="shared" si="1"/>
        <v>0</v>
      </c>
    </row>
    <row r="22" spans="1:12" x14ac:dyDescent="0.25">
      <c r="A22" s="5" t="s">
        <v>15</v>
      </c>
      <c r="B22" s="5" t="s">
        <v>31</v>
      </c>
      <c r="C22" s="30">
        <f>'Totale LTA'!F22-Sud!C22</f>
        <v>4</v>
      </c>
      <c r="D22" s="20">
        <f>'Totale LTA'!G22-Sud!D22</f>
        <v>3</v>
      </c>
      <c r="E22" s="30">
        <f>'Totale LTA'!H22-Sud!E22</f>
        <v>1</v>
      </c>
      <c r="F22" s="7">
        <f>'Totale LTA'!I22-Sud!F22</f>
        <v>0</v>
      </c>
      <c r="G22" s="7">
        <f>'Totale LTA'!J22-Sud!G22</f>
        <v>0</v>
      </c>
      <c r="H22" s="7">
        <f>'Totale LTA'!K22-Sud!H22</f>
        <v>1</v>
      </c>
      <c r="I22" s="19">
        <f>+(4*2)/C22</f>
        <v>2</v>
      </c>
      <c r="K22" s="8">
        <f t="shared" si="0"/>
        <v>3</v>
      </c>
      <c r="L22" s="8">
        <f t="shared" si="1"/>
        <v>1</v>
      </c>
    </row>
    <row r="23" spans="1:12" x14ac:dyDescent="0.25">
      <c r="A23" s="5" t="s">
        <v>15</v>
      </c>
      <c r="B23" s="5" t="s">
        <v>32</v>
      </c>
      <c r="C23" s="30">
        <f>'Totale LTA'!F23-Sud!C23</f>
        <v>390</v>
      </c>
      <c r="D23" s="20">
        <f>'Totale LTA'!G23-Sud!D23</f>
        <v>378</v>
      </c>
      <c r="E23" s="30">
        <f>'Totale LTA'!H23-Sud!E23</f>
        <v>12</v>
      </c>
      <c r="F23" s="7">
        <f>'Totale LTA'!I23-Sud!F23</f>
        <v>0</v>
      </c>
      <c r="G23" s="7">
        <f>'Totale LTA'!J23-Sud!G23</f>
        <v>0</v>
      </c>
      <c r="H23" s="7">
        <f>'Totale LTA'!K23-Sud!H23</f>
        <v>12</v>
      </c>
      <c r="I23" s="19">
        <f>(326*3+48*3+16*3)/C23</f>
        <v>3</v>
      </c>
      <c r="K23" s="8">
        <f t="shared" si="0"/>
        <v>378</v>
      </c>
      <c r="L23" s="8">
        <f t="shared" si="1"/>
        <v>12</v>
      </c>
    </row>
    <row r="24" spans="1:12" x14ac:dyDescent="0.25">
      <c r="A24" s="5" t="s">
        <v>15</v>
      </c>
      <c r="B24" s="5" t="s">
        <v>33</v>
      </c>
      <c r="C24" s="30">
        <f>'Totale LTA'!F24-Sud!C24</f>
        <v>1697</v>
      </c>
      <c r="D24" s="20">
        <f>'Totale LTA'!G24-Sud!D24</f>
        <v>1697</v>
      </c>
      <c r="E24" s="30">
        <f>'Totale LTA'!H24-Sud!E24</f>
        <v>0</v>
      </c>
      <c r="F24" s="7">
        <f>'Totale LTA'!I24-Sud!F24</f>
        <v>0</v>
      </c>
      <c r="G24" s="7">
        <f>'Totale LTA'!J24-Sud!G24</f>
        <v>0</v>
      </c>
      <c r="H24" s="7">
        <f>'Totale LTA'!K24-Sud!H24</f>
        <v>0</v>
      </c>
      <c r="I24" s="24">
        <v>0</v>
      </c>
      <c r="K24" s="8">
        <f t="shared" si="0"/>
        <v>1697</v>
      </c>
      <c r="L24" s="8">
        <f t="shared" si="1"/>
        <v>0</v>
      </c>
    </row>
    <row r="25" spans="1:12" x14ac:dyDescent="0.25">
      <c r="A25" s="5" t="s">
        <v>34</v>
      </c>
      <c r="B25" s="5" t="s">
        <v>35</v>
      </c>
      <c r="C25" s="30">
        <f>'Totale LTA'!F25-Sud!C25</f>
        <v>304</v>
      </c>
      <c r="D25" s="20">
        <f>'Totale LTA'!G25-Sud!D25</f>
        <v>293</v>
      </c>
      <c r="E25" s="30">
        <f>'Totale LTA'!H25-Sud!E25</f>
        <v>11</v>
      </c>
      <c r="F25" s="7">
        <f>'Totale LTA'!I25-Sud!F25</f>
        <v>0</v>
      </c>
      <c r="G25" s="7">
        <f>'Totale LTA'!J25-Sud!G25</f>
        <v>0</v>
      </c>
      <c r="H25" s="7">
        <f>'Totale LTA'!K25-Sud!H25</f>
        <v>11</v>
      </c>
      <c r="I25" s="19">
        <f>+(4*236+4*1+4*67)/C25</f>
        <v>4</v>
      </c>
      <c r="K25" s="8">
        <f t="shared" si="0"/>
        <v>293</v>
      </c>
      <c r="L25" s="8">
        <f t="shared" si="1"/>
        <v>11</v>
      </c>
    </row>
    <row r="26" spans="1:12" x14ac:dyDescent="0.25">
      <c r="A26" s="5" t="s">
        <v>34</v>
      </c>
      <c r="B26" s="5" t="s">
        <v>36</v>
      </c>
      <c r="C26" s="30">
        <f>'Totale LTA'!F26-Sud!C26</f>
        <v>0</v>
      </c>
      <c r="D26" s="20">
        <f>'Totale LTA'!G26-Sud!D26</f>
        <v>0</v>
      </c>
      <c r="E26" s="30">
        <f>'Totale LTA'!H26-Sud!E26</f>
        <v>0</v>
      </c>
      <c r="F26" s="7">
        <f>'Totale LTA'!I26-Sud!F26</f>
        <v>0</v>
      </c>
      <c r="G26" s="7">
        <f>'Totale LTA'!J26-Sud!G26</f>
        <v>0</v>
      </c>
      <c r="H26" s="7">
        <f>'Totale LTA'!K26-Sud!H26</f>
        <v>0</v>
      </c>
      <c r="I26" s="19">
        <v>0</v>
      </c>
      <c r="K26" s="8">
        <f t="shared" si="0"/>
        <v>0</v>
      </c>
      <c r="L26" s="8">
        <f t="shared" si="1"/>
        <v>0</v>
      </c>
    </row>
    <row r="27" spans="1:12" x14ac:dyDescent="0.25">
      <c r="A27" s="9" t="s">
        <v>34</v>
      </c>
      <c r="B27" s="9" t="s">
        <v>37</v>
      </c>
      <c r="C27" s="30">
        <f>'Totale LTA'!F27-Sud!C27</f>
        <v>304</v>
      </c>
      <c r="D27" s="20">
        <f>'Totale LTA'!G27-Sud!D27</f>
        <v>303</v>
      </c>
      <c r="E27" s="30">
        <f>'Totale LTA'!H27-Sud!E27</f>
        <v>1</v>
      </c>
      <c r="F27" s="7">
        <f>'Totale LTA'!I27-Sud!F27</f>
        <v>0</v>
      </c>
      <c r="G27" s="7">
        <f>'Totale LTA'!J27-Sud!G27</f>
        <v>0</v>
      </c>
      <c r="H27" s="7">
        <f>'Totale LTA'!K27-Sud!H27</f>
        <v>1</v>
      </c>
      <c r="I27" s="21">
        <f>+(+(1.25*236)+(0*1)+(1*67))/C27</f>
        <v>1.1907894736842106</v>
      </c>
      <c r="K27" s="8">
        <f t="shared" si="0"/>
        <v>303</v>
      </c>
      <c r="L27" s="8">
        <f t="shared" si="1"/>
        <v>1</v>
      </c>
    </row>
    <row r="28" spans="1:12" x14ac:dyDescent="0.25">
      <c r="A28" s="5" t="s">
        <v>34</v>
      </c>
      <c r="B28" s="5" t="s">
        <v>38</v>
      </c>
      <c r="C28" s="30">
        <f>'Totale LTA'!F28-Sud!C28</f>
        <v>11</v>
      </c>
      <c r="D28" s="20">
        <f>'Totale LTA'!G28-Sud!D28</f>
        <v>11</v>
      </c>
      <c r="E28" s="30">
        <f>'Totale LTA'!H28-Sud!E28</f>
        <v>0</v>
      </c>
      <c r="F28" s="7">
        <f>'Totale LTA'!I28-Sud!F28</f>
        <v>0</v>
      </c>
      <c r="G28" s="7">
        <f>'Totale LTA'!J28-Sud!G28</f>
        <v>0</v>
      </c>
      <c r="H28" s="7">
        <f>'Totale LTA'!K28-Sud!H28</f>
        <v>0</v>
      </c>
      <c r="I28" s="19">
        <f>+((8*4+2*3+1*29)/C28)</f>
        <v>6.0909090909090908</v>
      </c>
      <c r="K28" s="8">
        <f t="shared" si="0"/>
        <v>11</v>
      </c>
      <c r="L28" s="8">
        <f t="shared" si="1"/>
        <v>0</v>
      </c>
    </row>
    <row r="29" spans="1:12" x14ac:dyDescent="0.25">
      <c r="A29" s="5" t="s">
        <v>34</v>
      </c>
      <c r="B29" s="5" t="s">
        <v>39</v>
      </c>
      <c r="C29" s="30">
        <f>'Totale LTA'!F29-Sud!C29</f>
        <v>7</v>
      </c>
      <c r="D29" s="20">
        <f>'Totale LTA'!G29-Sud!D29</f>
        <v>7</v>
      </c>
      <c r="E29" s="30">
        <f>'Totale LTA'!H29-Sud!E29</f>
        <v>0</v>
      </c>
      <c r="F29" s="7">
        <f>'Totale LTA'!I29-Sud!F29</f>
        <v>0</v>
      </c>
      <c r="G29" s="7">
        <f>'Totale LTA'!J29-Sud!G29</f>
        <v>0</v>
      </c>
      <c r="H29" s="7">
        <f>'Totale LTA'!K29-Sud!H29</f>
        <v>0</v>
      </c>
      <c r="I29" s="19">
        <f>(7*0)/C29</f>
        <v>0</v>
      </c>
      <c r="K29" s="8">
        <f t="shared" si="0"/>
        <v>7</v>
      </c>
      <c r="L29" s="8">
        <f t="shared" si="1"/>
        <v>0</v>
      </c>
    </row>
    <row r="30" spans="1:12" x14ac:dyDescent="0.25">
      <c r="A30" s="5" t="s">
        <v>34</v>
      </c>
      <c r="B30" s="5" t="s">
        <v>40</v>
      </c>
      <c r="C30" s="30">
        <f>'Totale LTA'!F30-Sud!C30</f>
        <v>1</v>
      </c>
      <c r="D30" s="20">
        <f>'Totale LTA'!G30-Sud!D30</f>
        <v>1</v>
      </c>
      <c r="E30" s="30">
        <f>'Totale LTA'!H30-Sud!E30</f>
        <v>0</v>
      </c>
      <c r="F30" s="7">
        <f>'Totale LTA'!I30-Sud!F30</f>
        <v>0</v>
      </c>
      <c r="G30" s="7">
        <f>'Totale LTA'!J30-Sud!G30</f>
        <v>0</v>
      </c>
      <c r="H30" s="7">
        <f>'Totale LTA'!K30-Sud!H30</f>
        <v>0</v>
      </c>
      <c r="I30" s="19">
        <v>20</v>
      </c>
      <c r="K30" s="8">
        <f t="shared" si="0"/>
        <v>1</v>
      </c>
      <c r="L30" s="8">
        <f t="shared" si="1"/>
        <v>0</v>
      </c>
    </row>
    <row r="31" spans="1:12" x14ac:dyDescent="0.25">
      <c r="A31" s="5" t="s">
        <v>34</v>
      </c>
      <c r="B31" s="5" t="s">
        <v>41</v>
      </c>
      <c r="C31" s="30">
        <f>'Totale LTA'!F31-Sud!C31</f>
        <v>3</v>
      </c>
      <c r="D31" s="20">
        <f>'Totale LTA'!G31-Sud!D31</f>
        <v>3</v>
      </c>
      <c r="E31" s="30">
        <f>'Totale LTA'!H31-Sud!E31</f>
        <v>0</v>
      </c>
      <c r="F31" s="7">
        <f>'Totale LTA'!I31-Sud!F31</f>
        <v>0</v>
      </c>
      <c r="G31" s="7">
        <f>'Totale LTA'!J31-Sud!G31</f>
        <v>0</v>
      </c>
      <c r="H31" s="7">
        <f>'Totale LTA'!K31-Sud!H31</f>
        <v>0</v>
      </c>
      <c r="I31" s="24">
        <v>0</v>
      </c>
      <c r="K31" s="8">
        <f t="shared" si="0"/>
        <v>3</v>
      </c>
      <c r="L31" s="8">
        <f t="shared" si="1"/>
        <v>0</v>
      </c>
    </row>
    <row r="32" spans="1:12" x14ac:dyDescent="0.25">
      <c r="A32" s="5" t="s">
        <v>34</v>
      </c>
      <c r="B32" s="5" t="s">
        <v>42</v>
      </c>
      <c r="C32" s="30">
        <f>'Totale LTA'!F32-Sud!C32</f>
        <v>0</v>
      </c>
      <c r="D32" s="20">
        <f>'Totale LTA'!G32-Sud!D32</f>
        <v>0</v>
      </c>
      <c r="E32" s="30">
        <f>'Totale LTA'!H32-Sud!E32</f>
        <v>0</v>
      </c>
      <c r="F32" s="7">
        <f>'Totale LTA'!I32-Sud!F32</f>
        <v>0</v>
      </c>
      <c r="G32" s="7">
        <f>'Totale LTA'!J32-Sud!G32</f>
        <v>0</v>
      </c>
      <c r="H32" s="7">
        <f>'Totale LTA'!K32-Sud!H32</f>
        <v>0</v>
      </c>
      <c r="I32" s="17">
        <v>0</v>
      </c>
      <c r="K32" s="8">
        <f t="shared" si="0"/>
        <v>0</v>
      </c>
      <c r="L32" s="8">
        <f t="shared" si="1"/>
        <v>0</v>
      </c>
    </row>
    <row r="33" spans="1:19" x14ac:dyDescent="0.25">
      <c r="A33" s="5" t="s">
        <v>34</v>
      </c>
      <c r="B33" s="5" t="s">
        <v>43</v>
      </c>
      <c r="C33" s="30">
        <f>'Totale LTA'!F33-Sud!C33</f>
        <v>0</v>
      </c>
      <c r="D33" s="20">
        <f>'Totale LTA'!G33-Sud!D33</f>
        <v>0</v>
      </c>
      <c r="E33" s="30">
        <f>'Totale LTA'!H33-Sud!E33</f>
        <v>0</v>
      </c>
      <c r="F33" s="7">
        <f>'Totale LTA'!I33-Sud!F33</f>
        <v>0</v>
      </c>
      <c r="G33" s="7">
        <f>'Totale LTA'!J33-Sud!G33</f>
        <v>0</v>
      </c>
      <c r="H33" s="7">
        <f>'Totale LTA'!K33-Sud!H33</f>
        <v>0</v>
      </c>
      <c r="I33" s="17">
        <v>0</v>
      </c>
      <c r="K33" s="8">
        <f t="shared" si="0"/>
        <v>0</v>
      </c>
      <c r="L33" s="8">
        <f t="shared" si="1"/>
        <v>0</v>
      </c>
    </row>
    <row r="34" spans="1:19" x14ac:dyDescent="0.25">
      <c r="A34" s="5" t="s">
        <v>34</v>
      </c>
      <c r="B34" s="5" t="s">
        <v>44</v>
      </c>
      <c r="C34" s="30">
        <f>'Totale LTA'!F34-Sud!C34</f>
        <v>81</v>
      </c>
      <c r="D34" s="20">
        <f>'Totale LTA'!G34-Sud!D34</f>
        <v>80</v>
      </c>
      <c r="E34" s="30">
        <f>'Totale LTA'!H34-Sud!E34</f>
        <v>1</v>
      </c>
      <c r="F34" s="7">
        <f>'Totale LTA'!I34-Sud!F34</f>
        <v>0</v>
      </c>
      <c r="G34" s="7">
        <f>'Totale LTA'!J34-Sud!G34</f>
        <v>0</v>
      </c>
      <c r="H34" s="7">
        <f>'Totale LTA'!K34-Sud!H34</f>
        <v>1</v>
      </c>
      <c r="I34" s="25">
        <f>+(74*1+8*1.5)/C34</f>
        <v>1.0617283950617284</v>
      </c>
      <c r="K34" s="8">
        <f t="shared" si="0"/>
        <v>80</v>
      </c>
      <c r="L34" s="8">
        <f t="shared" si="1"/>
        <v>1</v>
      </c>
    </row>
    <row r="35" spans="1:19" x14ac:dyDescent="0.25">
      <c r="A35" s="5" t="s">
        <v>34</v>
      </c>
      <c r="B35" s="5" t="s">
        <v>45</v>
      </c>
      <c r="C35" s="30">
        <f>'Totale LTA'!F35-Sud!C35</f>
        <v>166896</v>
      </c>
      <c r="D35" s="20">
        <f>'Totale LTA'!G35-Sud!D35</f>
        <v>139548</v>
      </c>
      <c r="E35" s="30">
        <f>'Totale LTA'!H35-Sud!E35</f>
        <v>27348</v>
      </c>
      <c r="F35" s="7">
        <f>'Totale LTA'!I35-Sud!F35</f>
        <v>0</v>
      </c>
      <c r="G35" s="7">
        <f>'Totale LTA'!J35-Sud!G35</f>
        <v>0</v>
      </c>
      <c r="H35" s="20">
        <f>'Totale LTA'!K35-Sud!H35</f>
        <v>27348</v>
      </c>
      <c r="I35" s="19">
        <f>+(1962*28+147064*28+19208*36)/C35</f>
        <v>29.145192215511457</v>
      </c>
      <c r="K35" s="8">
        <f>D35*0.001</f>
        <v>139.548</v>
      </c>
      <c r="L35" s="8">
        <f>H35*0.001</f>
        <v>27.347999999999999</v>
      </c>
    </row>
    <row r="36" spans="1:19" x14ac:dyDescent="0.25">
      <c r="A36" s="5" t="s">
        <v>34</v>
      </c>
      <c r="B36" s="5" t="s">
        <v>46</v>
      </c>
      <c r="C36" s="30">
        <f>'Totale LTA'!F36-Sud!C36</f>
        <v>44</v>
      </c>
      <c r="D36" s="20">
        <f>'Totale LTA'!G36-Sud!D36</f>
        <v>44</v>
      </c>
      <c r="E36" s="30">
        <f>'Totale LTA'!H36-Sud!E36</f>
        <v>0</v>
      </c>
      <c r="F36" s="7">
        <f>'Totale LTA'!I36-Sud!F36</f>
        <v>0</v>
      </c>
      <c r="G36" s="7">
        <f>'Totale LTA'!J36-Sud!G36</f>
        <v>0</v>
      </c>
      <c r="H36" s="7">
        <f>'Totale LTA'!K36-Sud!H36</f>
        <v>0</v>
      </c>
      <c r="I36" s="19">
        <f>+(32*24+1*5+11*17)/D36</f>
        <v>21.818181818181817</v>
      </c>
      <c r="K36" s="8">
        <f t="shared" ref="K36:K42" si="2">+D36</f>
        <v>44</v>
      </c>
      <c r="L36" s="8">
        <f t="shared" ref="L36:L42" si="3">+H36</f>
        <v>0</v>
      </c>
    </row>
    <row r="37" spans="1:19" x14ac:dyDescent="0.25">
      <c r="A37" s="5" t="s">
        <v>34</v>
      </c>
      <c r="B37" s="5" t="s">
        <v>47</v>
      </c>
      <c r="C37" s="30">
        <f>'Totale LTA'!F37-Sud!C37</f>
        <v>80</v>
      </c>
      <c r="D37" s="20">
        <f>'Totale LTA'!G37-Sud!D37</f>
        <v>71</v>
      </c>
      <c r="E37" s="30">
        <f>'Totale LTA'!H37-Sud!E37</f>
        <v>9</v>
      </c>
      <c r="F37" s="7">
        <f>'Totale LTA'!I37-Sud!F37</f>
        <v>0</v>
      </c>
      <c r="G37" s="7">
        <f>'Totale LTA'!J37-Sud!G37</f>
        <v>0</v>
      </c>
      <c r="H37" s="7">
        <f>'Totale LTA'!K37-Sud!H37</f>
        <v>9</v>
      </c>
      <c r="I37" s="19">
        <f>+(72*7+1*4+7*11)/C37</f>
        <v>7.3125</v>
      </c>
      <c r="K37" s="8">
        <f t="shared" si="2"/>
        <v>71</v>
      </c>
      <c r="L37" s="8">
        <f t="shared" si="3"/>
        <v>9</v>
      </c>
    </row>
    <row r="38" spans="1:19" x14ac:dyDescent="0.25">
      <c r="A38" s="5" t="s">
        <v>34</v>
      </c>
      <c r="B38" s="5" t="s">
        <v>48</v>
      </c>
      <c r="C38" s="30">
        <f>'Totale LTA'!F38-Sud!C38</f>
        <v>102</v>
      </c>
      <c r="D38" s="20">
        <f>'Totale LTA'!G38-Sud!D38</f>
        <v>102</v>
      </c>
      <c r="E38" s="30">
        <f>'Totale LTA'!H38-Sud!E38</f>
        <v>0</v>
      </c>
      <c r="F38" s="7">
        <f>'Totale LTA'!I38-Sud!F38</f>
        <v>0</v>
      </c>
      <c r="G38" s="7">
        <f>'Totale LTA'!J38-Sud!G38</f>
        <v>0</v>
      </c>
      <c r="H38" s="7">
        <f>'Totale LTA'!K38-Sud!H38</f>
        <v>0</v>
      </c>
      <c r="I38" s="19">
        <f>+(83*1+19*1)/C38</f>
        <v>1</v>
      </c>
      <c r="K38" s="8">
        <f t="shared" si="2"/>
        <v>102</v>
      </c>
      <c r="L38" s="8">
        <f t="shared" si="3"/>
        <v>0</v>
      </c>
    </row>
    <row r="39" spans="1:19" x14ac:dyDescent="0.25">
      <c r="A39" s="5" t="s">
        <v>34</v>
      </c>
      <c r="B39" s="5" t="s">
        <v>49</v>
      </c>
      <c r="C39" s="30">
        <f>'Totale LTA'!F39-Sud!C39</f>
        <v>74</v>
      </c>
      <c r="D39" s="20">
        <f>'Totale LTA'!G39-Sud!D39</f>
        <v>72</v>
      </c>
      <c r="E39" s="30">
        <f>'Totale LTA'!H39-Sud!E39</f>
        <v>2</v>
      </c>
      <c r="F39" s="7">
        <f>'Totale LTA'!I39-Sud!F39</f>
        <v>0</v>
      </c>
      <c r="G39" s="7">
        <f>'Totale LTA'!J39-Sud!G39</f>
        <v>0</v>
      </c>
      <c r="H39" s="7">
        <f>'Totale LTA'!K39-Sud!H39</f>
        <v>2</v>
      </c>
      <c r="I39" s="19">
        <f>+(10*9+64*10)/C39</f>
        <v>9.8648648648648649</v>
      </c>
      <c r="K39" s="8">
        <f t="shared" si="2"/>
        <v>72</v>
      </c>
      <c r="L39" s="8">
        <f t="shared" si="3"/>
        <v>2</v>
      </c>
    </row>
    <row r="40" spans="1:19" x14ac:dyDescent="0.25">
      <c r="A40" s="5" t="s">
        <v>34</v>
      </c>
      <c r="B40" s="5" t="s">
        <v>50</v>
      </c>
      <c r="C40" s="30">
        <f>'Totale LTA'!F40-Sud!C40</f>
        <v>0</v>
      </c>
      <c r="D40" s="20">
        <f>'Totale LTA'!G40-Sud!D40</f>
        <v>0</v>
      </c>
      <c r="E40" s="30">
        <f>'Totale LTA'!H40-Sud!E40</f>
        <v>0</v>
      </c>
      <c r="F40" s="7">
        <f>'Totale LTA'!I40-Sud!F40</f>
        <v>0</v>
      </c>
      <c r="G40" s="7">
        <f>'Totale LTA'!J40-Sud!G40</f>
        <v>0</v>
      </c>
      <c r="H40" s="7">
        <f>'Totale LTA'!K40-Sud!H40</f>
        <v>0</v>
      </c>
      <c r="I40" s="17">
        <v>0</v>
      </c>
      <c r="K40" s="8">
        <f t="shared" si="2"/>
        <v>0</v>
      </c>
      <c r="L40" s="8">
        <f t="shared" si="3"/>
        <v>0</v>
      </c>
    </row>
    <row r="41" spans="1:19" x14ac:dyDescent="0.25">
      <c r="A41" s="5" t="s">
        <v>34</v>
      </c>
      <c r="B41" s="5" t="s">
        <v>51</v>
      </c>
      <c r="C41" s="30">
        <f>'Totale LTA'!F41-Sud!C41</f>
        <v>0</v>
      </c>
      <c r="D41" s="20">
        <f>'Totale LTA'!G41-Sud!D41</f>
        <v>0</v>
      </c>
      <c r="E41" s="30">
        <f>'Totale LTA'!H41-Sud!E41</f>
        <v>0</v>
      </c>
      <c r="F41" s="7">
        <f>'Totale LTA'!I41-Sud!F41</f>
        <v>0</v>
      </c>
      <c r="G41" s="7">
        <f>'Totale LTA'!J41-Sud!G41</f>
        <v>0</v>
      </c>
      <c r="H41" s="7">
        <f>'Totale LTA'!K41-Sud!H41</f>
        <v>0</v>
      </c>
      <c r="I41" s="17">
        <v>0</v>
      </c>
      <c r="K41" s="8">
        <f t="shared" si="2"/>
        <v>0</v>
      </c>
      <c r="L41" s="8">
        <f t="shared" si="3"/>
        <v>0</v>
      </c>
    </row>
    <row r="42" spans="1:19" x14ac:dyDescent="0.25">
      <c r="A42" s="5" t="s">
        <v>34</v>
      </c>
      <c r="B42" s="5" t="s">
        <v>52</v>
      </c>
      <c r="C42" s="30">
        <f>'Totale LTA'!F42-Sud!C42</f>
        <v>0</v>
      </c>
      <c r="D42" s="20">
        <f>'Totale LTA'!G42-Sud!D42</f>
        <v>0</v>
      </c>
      <c r="E42" s="30">
        <f>'Totale LTA'!H42-Sud!E42</f>
        <v>0</v>
      </c>
      <c r="F42" s="7">
        <f>'Totale LTA'!I42-Sud!F42</f>
        <v>0</v>
      </c>
      <c r="G42" s="7">
        <f>'Totale LTA'!J42-Sud!G42</f>
        <v>0</v>
      </c>
      <c r="H42" s="7">
        <f>'Totale LTA'!K42-Sud!H42</f>
        <v>0</v>
      </c>
      <c r="I42" s="17">
        <v>0</v>
      </c>
      <c r="K42" s="8">
        <f t="shared" si="2"/>
        <v>0</v>
      </c>
      <c r="L42" s="8">
        <f t="shared" si="3"/>
        <v>0</v>
      </c>
    </row>
    <row r="43" spans="1:19" x14ac:dyDescent="0.25">
      <c r="A43" s="5" t="s">
        <v>34</v>
      </c>
      <c r="B43" s="5" t="s">
        <v>53</v>
      </c>
      <c r="C43" s="30">
        <f>'Totale LTA'!F43-Sud!C43</f>
        <v>6807</v>
      </c>
      <c r="D43" s="20">
        <f>'Totale LTA'!G43-Sud!D43</f>
        <v>6735</v>
      </c>
      <c r="E43" s="30">
        <f>'Totale LTA'!H43-Sud!E43</f>
        <v>72</v>
      </c>
      <c r="F43" s="7">
        <f>'Totale LTA'!I43-Sud!F43</f>
        <v>0</v>
      </c>
      <c r="G43" s="7">
        <f>'Totale LTA'!J43-Sud!G43</f>
        <v>0</v>
      </c>
      <c r="H43" s="7">
        <f>'Totale LTA'!K43-Sud!H43</f>
        <v>72</v>
      </c>
      <c r="I43" s="19">
        <v>0</v>
      </c>
      <c r="K43" s="8">
        <f>D43*0.1</f>
        <v>673.5</v>
      </c>
      <c r="L43" s="8">
        <f>H43*0.1</f>
        <v>7.2</v>
      </c>
    </row>
    <row r="44" spans="1:19" x14ac:dyDescent="0.25">
      <c r="A44" s="5" t="s">
        <v>34</v>
      </c>
      <c r="B44" s="5" t="s">
        <v>54</v>
      </c>
      <c r="C44" s="30">
        <f>'Totale LTA'!F44-Sud!C44</f>
        <v>6807</v>
      </c>
      <c r="D44" s="30">
        <f>'Totale LTA'!G44-Sud!D44</f>
        <v>6100</v>
      </c>
      <c r="E44" s="30">
        <f>'Totale LTA'!H44-Sud!E44</f>
        <v>707</v>
      </c>
      <c r="F44" s="17">
        <f>'Totale LTA'!I44-Sud!F44</f>
        <v>0</v>
      </c>
      <c r="G44" s="17">
        <f>'Totale LTA'!J44-Sud!G44</f>
        <v>0</v>
      </c>
      <c r="H44" s="17">
        <f>'Totale LTA'!K44-Sud!H44</f>
        <v>0</v>
      </c>
      <c r="I44" s="20">
        <f>(6.25*(6100+707))/C43</f>
        <v>6.25</v>
      </c>
      <c r="K44" s="8">
        <f>D44*0.1</f>
        <v>610</v>
      </c>
      <c r="L44" s="8">
        <f>E44*0.1</f>
        <v>70.7</v>
      </c>
    </row>
    <row r="45" spans="1:19" x14ac:dyDescent="0.25">
      <c r="A45" s="5" t="s">
        <v>34</v>
      </c>
      <c r="B45" s="5" t="s">
        <v>66</v>
      </c>
      <c r="C45" s="20">
        <f>+(688+470+380+498+769+554)+(1498+1175+1511+1544+1558+1410+2141+2012+2139+2642+2631+1946)</f>
        <v>25566</v>
      </c>
      <c r="D45" s="20">
        <f>+(609+433+353+451+704+493)+(1329+1093+1397+1399+1407+1197+1722+1694+1920+2302+2427+1836)</f>
        <v>22766</v>
      </c>
      <c r="E45" s="30">
        <f>+C45-D45</f>
        <v>2800</v>
      </c>
      <c r="F45" s="17">
        <v>0</v>
      </c>
      <c r="G45" s="17">
        <v>0</v>
      </c>
      <c r="H45" s="17">
        <v>0</v>
      </c>
      <c r="I45" s="22">
        <f>IF(ISERROR(D45/C45),"",D45/C45)</f>
        <v>0.89047954314323707</v>
      </c>
      <c r="K45" s="8">
        <f>D45*0.01</f>
        <v>227.66</v>
      </c>
      <c r="L45" s="8">
        <f>E45*0.01</f>
        <v>28</v>
      </c>
    </row>
    <row r="46" spans="1:19" x14ac:dyDescent="0.25">
      <c r="A46" s="5" t="s">
        <v>34</v>
      </c>
      <c r="B46" s="5" t="s">
        <v>67</v>
      </c>
      <c r="C46" s="30">
        <f>IF(I46="",0,C45)</f>
        <v>25566</v>
      </c>
      <c r="D46" s="30">
        <f>+C46*I46</f>
        <v>25563.264058429235</v>
      </c>
      <c r="E46" s="30">
        <f>+C46-D46</f>
        <v>2.7359415707651351</v>
      </c>
      <c r="F46" s="17">
        <v>0</v>
      </c>
      <c r="G46" s="17">
        <v>0</v>
      </c>
      <c r="H46" s="17">
        <v>0</v>
      </c>
      <c r="I46" s="23">
        <f>((0.9984*609+1*433+353*1+451*1+704*1+493*1)+(0.9989*1329+1*1093+1*1397+1*1399+1*1407+1*1197+1*1722+1*1694+1*1920+1*2302+1*2427+1*1836))/D45</f>
        <v>0.99989298515329872</v>
      </c>
      <c r="K46" s="8">
        <f t="shared" ref="K46:L47" si="4">D46*0.01</f>
        <v>255.63264058429235</v>
      </c>
      <c r="L46" s="8">
        <f t="shared" si="4"/>
        <v>2.7359415707651352E-2</v>
      </c>
      <c r="S46" s="10"/>
    </row>
    <row r="47" spans="1:19" x14ac:dyDescent="0.25">
      <c r="A47" s="5" t="s">
        <v>34</v>
      </c>
      <c r="B47" s="5" t="s">
        <v>71</v>
      </c>
      <c r="C47" s="30">
        <f>IF(I47="",0,C45)</f>
        <v>25566</v>
      </c>
      <c r="D47" s="30">
        <f>(1-(I47/4800))*C47</f>
        <v>24960.846874999999</v>
      </c>
      <c r="E47" s="30">
        <f>+C47-D47</f>
        <v>605.15312500000073</v>
      </c>
      <c r="F47" s="17">
        <v>0</v>
      </c>
      <c r="G47" s="17">
        <v>0</v>
      </c>
      <c r="H47" s="17">
        <v>0</v>
      </c>
      <c r="I47" s="20">
        <f>+((79*688)+(62*470)+(58*380)+(73*498)+(80*769)+(90*554)+(109*1498)+(81*1175)+(87*1511)+(96*1544)+(104*1558)+(124*1410)+(168*2141)+(151*2012)+(125*2139)+(135*2642)+(120*2631)+(89*1946))/C46</f>
        <v>113.61710865993898</v>
      </c>
      <c r="K47" s="8">
        <f t="shared" si="4"/>
        <v>249.60846874999999</v>
      </c>
      <c r="L47" s="8">
        <f t="shared" si="4"/>
        <v>6.0515312500000071</v>
      </c>
    </row>
    <row r="48" spans="1:19" x14ac:dyDescent="0.25">
      <c r="A48" s="5" t="s">
        <v>34</v>
      </c>
      <c r="B48" s="5" t="s">
        <v>75</v>
      </c>
      <c r="C48" s="6">
        <f>'Totale LTA'!F48-Sud!C48</f>
        <v>0</v>
      </c>
      <c r="D48" s="7">
        <v>7157</v>
      </c>
      <c r="E48" s="6">
        <v>347</v>
      </c>
      <c r="F48" s="7">
        <v>0</v>
      </c>
      <c r="G48" s="7">
        <v>0</v>
      </c>
      <c r="H48" s="7">
        <v>347</v>
      </c>
      <c r="I48" s="19">
        <v>44.728544776119406</v>
      </c>
      <c r="K48" s="8">
        <f>D48*0.1</f>
        <v>715.7</v>
      </c>
      <c r="L48" s="8">
        <f>H48*0.1</f>
        <v>34.700000000000003</v>
      </c>
      <c r="M48" s="3"/>
    </row>
    <row r="50" spans="2:12" s="12" customFormat="1" ht="32.25" customHeight="1" x14ac:dyDescent="0.25">
      <c r="B50" s="72" t="s">
        <v>63</v>
      </c>
      <c r="C50" s="72"/>
      <c r="D50" s="11" t="s">
        <v>58</v>
      </c>
      <c r="E50" s="11" t="s">
        <v>59</v>
      </c>
      <c r="I50" s="18"/>
      <c r="J50" s="73" t="s">
        <v>60</v>
      </c>
      <c r="K50" s="74"/>
      <c r="L50" s="75"/>
    </row>
    <row r="51" spans="2:12" x14ac:dyDescent="0.25">
      <c r="B51" s="13" t="s">
        <v>15</v>
      </c>
      <c r="C51" s="14">
        <f>IF(ISERROR(K51/(K51+L51)),"N/A",K51/(K51+L51))</f>
        <v>0.99166151945645464</v>
      </c>
      <c r="D51" s="15" t="str">
        <f>+IF(C51="N/A",C51,IF(C51&gt;98%,"A",IF(AND(C51&lt;=98%,C51&gt;90%),"B","C")))</f>
        <v>A</v>
      </c>
      <c r="E51" s="14" t="str">
        <f>+IF(C51="N/A",C51,IF(C51&gt;98%,"mantenimento",IF(AND(C51&lt;=98%,C51&gt;90%),C51+1%,C51+3%)))</f>
        <v>mantenimento</v>
      </c>
      <c r="J51" s="13" t="s">
        <v>15</v>
      </c>
      <c r="K51" s="8">
        <f>+SUMIF(A7:A48,"MC1",K7:K48)</f>
        <v>3211</v>
      </c>
      <c r="L51" s="8">
        <f>SUMIF(A7:A48,"MC1",L7:L48)</f>
        <v>27</v>
      </c>
    </row>
    <row r="52" spans="2:12" x14ac:dyDescent="0.25">
      <c r="B52" s="13" t="s">
        <v>34</v>
      </c>
      <c r="C52" s="14">
        <f>IF(ISERROR(K52/(K52+L52)),"N/A",K52/(K52+L52))</f>
        <v>0.95118493794779091</v>
      </c>
      <c r="D52" s="15" t="str">
        <f>+IF(C52="N/A",C52,IF(C52&gt;95%,"A",IF(AND(C52&lt;=95%,C52&gt;90%),"B","C")))</f>
        <v>A</v>
      </c>
      <c r="E52" s="14" t="str">
        <f>+IF(C52="N/A",C52,IF(C52&gt;95%,"mantenimento",IF(AND(C52&lt;=95%,C52&gt;90%),C52+1%,C52+3%)))</f>
        <v>mantenimento</v>
      </c>
      <c r="J52" s="13" t="s">
        <v>34</v>
      </c>
      <c r="K52" s="8">
        <f>SUMIF(A7:A48,"MC2",K7:K48)</f>
        <v>3858.649109334292</v>
      </c>
      <c r="L52" s="8">
        <f>SUMIF(A7:A48,"MC2",L7:L48)</f>
        <v>198.02689066570764</v>
      </c>
    </row>
  </sheetData>
  <mergeCells count="14">
    <mergeCell ref="J50:L50"/>
    <mergeCell ref="C1:D1"/>
    <mergeCell ref="C2:D2"/>
    <mergeCell ref="C3:D3"/>
    <mergeCell ref="E5:E6"/>
    <mergeCell ref="F5:H5"/>
    <mergeCell ref="I5:I6"/>
    <mergeCell ref="K5:K6"/>
    <mergeCell ref="L5:L6"/>
    <mergeCell ref="A5:A6"/>
    <mergeCell ref="B5:B6"/>
    <mergeCell ref="C5:C6"/>
    <mergeCell ref="D5:D6"/>
    <mergeCell ref="B50:C50"/>
  </mergeCells>
  <conditionalFormatting sqref="C48 C7:C43 E48 E7:E43 K7:L48">
    <cfRule type="cellIs" dxfId="77" priority="20" operator="lessThan">
      <formula>0</formula>
    </cfRule>
    <cfRule type="cellIs" dxfId="76" priority="22" operator="lessThan">
      <formula>0</formula>
    </cfRule>
  </conditionalFormatting>
  <conditionalFormatting sqref="C27:C32">
    <cfRule type="cellIs" dxfId="75" priority="21" operator="lessThan">
      <formula>-2</formula>
    </cfRule>
  </conditionalFormatting>
  <conditionalFormatting sqref="K51:L52">
    <cfRule type="cellIs" dxfId="74" priority="18" operator="lessThan">
      <formula>0</formula>
    </cfRule>
    <cfRule type="cellIs" dxfId="73" priority="19" operator="lessThan">
      <formula>0</formula>
    </cfRule>
  </conditionalFormatting>
  <conditionalFormatting sqref="C51">
    <cfRule type="cellIs" dxfId="72" priority="16" operator="lessThan">
      <formula>0</formula>
    </cfRule>
    <cfRule type="cellIs" dxfId="71" priority="17" operator="lessThan">
      <formula>0</formula>
    </cfRule>
  </conditionalFormatting>
  <conditionalFormatting sqref="D51">
    <cfRule type="cellIs" dxfId="70" priority="14" operator="lessThan">
      <formula>0</formula>
    </cfRule>
    <cfRule type="cellIs" dxfId="69" priority="15" operator="lessThan">
      <formula>0</formula>
    </cfRule>
  </conditionalFormatting>
  <conditionalFormatting sqref="K7:L48 C7:H17 H18:H43 C18:E47 C48:H48">
    <cfRule type="cellIs" dxfId="68" priority="13" operator="lessThan">
      <formula>0</formula>
    </cfRule>
  </conditionalFormatting>
  <conditionalFormatting sqref="I44 K51:L52 I47">
    <cfRule type="cellIs" dxfId="67" priority="12" operator="lessThan">
      <formula>0</formula>
    </cfRule>
  </conditionalFormatting>
  <conditionalFormatting sqref="I45">
    <cfRule type="cellIs" dxfId="66" priority="11" operator="lessThan">
      <formula>0</formula>
    </cfRule>
  </conditionalFormatting>
  <conditionalFormatting sqref="C52">
    <cfRule type="cellIs" dxfId="65" priority="9" operator="lessThan">
      <formula>0</formula>
    </cfRule>
    <cfRule type="cellIs" dxfId="64" priority="10" operator="lessThan">
      <formula>0</formula>
    </cfRule>
  </conditionalFormatting>
  <conditionalFormatting sqref="E51">
    <cfRule type="cellIs" dxfId="63" priority="7" operator="lessThan">
      <formula>0</formula>
    </cfRule>
    <cfRule type="cellIs" dxfId="62" priority="8" operator="lessThan">
      <formula>0</formula>
    </cfRule>
  </conditionalFormatting>
  <conditionalFormatting sqref="D52">
    <cfRule type="cellIs" dxfId="61" priority="5" operator="lessThan">
      <formula>0</formula>
    </cfRule>
    <cfRule type="cellIs" dxfId="60" priority="6" operator="lessThan">
      <formula>0</formula>
    </cfRule>
  </conditionalFormatting>
  <conditionalFormatting sqref="E52">
    <cfRule type="cellIs" dxfId="59" priority="3" operator="lessThan">
      <formula>0</formula>
    </cfRule>
    <cfRule type="cellIs" dxfId="58" priority="4" operator="lessThan">
      <formula>0</formula>
    </cfRule>
  </conditionalFormatting>
  <conditionalFormatting sqref="G18:G43">
    <cfRule type="cellIs" dxfId="57" priority="2" operator="lessThan">
      <formula>0</formula>
    </cfRule>
  </conditionalFormatting>
  <conditionalFormatting sqref="F18:F43">
    <cfRule type="cellIs" dxfId="56" priority="1" operator="lessThan">
      <formula>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0322-AD7C-40BB-A38D-A0FC16BBBD3B}">
  <dimension ref="A1:J48"/>
  <sheetViews>
    <sheetView workbookViewId="0">
      <selection activeCell="J42" sqref="J42"/>
    </sheetView>
  </sheetViews>
  <sheetFormatPr defaultRowHeight="15" x14ac:dyDescent="0.25"/>
  <cols>
    <col min="1" max="1" width="8" customWidth="1"/>
    <col min="2" max="2" width="83.42578125" customWidth="1"/>
    <col min="3" max="8" width="12" customWidth="1"/>
    <col min="9" max="9" width="12" style="43" customWidth="1"/>
    <col min="10" max="10" width="56.7109375" bestFit="1" customWidth="1"/>
  </cols>
  <sheetData>
    <row r="1" spans="1:10" ht="18.75" x14ac:dyDescent="0.3">
      <c r="B1" s="1" t="s">
        <v>61</v>
      </c>
    </row>
    <row r="3" spans="1:10" ht="15.75" thickBot="1" x14ac:dyDescent="0.3"/>
    <row r="4" spans="1:10" ht="15.75" thickBot="1" x14ac:dyDescent="0.3">
      <c r="C4" s="82" t="s">
        <v>69</v>
      </c>
      <c r="D4" s="83"/>
      <c r="E4" s="84"/>
      <c r="F4" s="82" t="s">
        <v>70</v>
      </c>
      <c r="G4" s="83"/>
      <c r="H4" s="84"/>
      <c r="I4" s="44"/>
    </row>
    <row r="5" spans="1:10" ht="14.45" customHeight="1" x14ac:dyDescent="0.25">
      <c r="A5" s="71" t="s">
        <v>4</v>
      </c>
      <c r="B5" s="78" t="s">
        <v>5</v>
      </c>
      <c r="C5" s="79" t="s">
        <v>6</v>
      </c>
      <c r="D5" s="81" t="s">
        <v>7</v>
      </c>
      <c r="E5" s="87" t="s">
        <v>8</v>
      </c>
      <c r="F5" s="79" t="s">
        <v>6</v>
      </c>
      <c r="G5" s="81" t="s">
        <v>7</v>
      </c>
      <c r="H5" s="87" t="s">
        <v>8</v>
      </c>
      <c r="I5" s="85" t="s">
        <v>79</v>
      </c>
      <c r="J5" s="87" t="s">
        <v>78</v>
      </c>
    </row>
    <row r="6" spans="1:10" ht="40.9" customHeight="1" x14ac:dyDescent="0.25">
      <c r="A6" s="71"/>
      <c r="B6" s="78"/>
      <c r="C6" s="80"/>
      <c r="D6" s="71"/>
      <c r="E6" s="88"/>
      <c r="F6" s="80"/>
      <c r="G6" s="71"/>
      <c r="H6" s="88"/>
      <c r="I6" s="86" t="s">
        <v>77</v>
      </c>
      <c r="J6" s="88" t="s">
        <v>78</v>
      </c>
    </row>
    <row r="7" spans="1:10" x14ac:dyDescent="0.25">
      <c r="A7" s="5" t="s">
        <v>15</v>
      </c>
      <c r="B7" s="28" t="s">
        <v>16</v>
      </c>
      <c r="C7" s="31">
        <v>0</v>
      </c>
      <c r="D7" s="32">
        <v>0</v>
      </c>
      <c r="E7" s="33">
        <v>0</v>
      </c>
      <c r="F7" s="31">
        <v>0</v>
      </c>
      <c r="G7" s="32">
        <v>0</v>
      </c>
      <c r="H7" s="33">
        <v>0</v>
      </c>
      <c r="I7" s="45"/>
      <c r="J7" s="33"/>
    </row>
    <row r="8" spans="1:10" x14ac:dyDescent="0.25">
      <c r="A8" s="5" t="s">
        <v>15</v>
      </c>
      <c r="B8" s="28" t="s">
        <v>17</v>
      </c>
      <c r="C8" s="31">
        <v>72</v>
      </c>
      <c r="D8" s="32">
        <v>64</v>
      </c>
      <c r="E8" s="33">
        <v>8</v>
      </c>
      <c r="F8" s="31">
        <v>49</v>
      </c>
      <c r="G8" s="32">
        <v>47</v>
      </c>
      <c r="H8" s="33">
        <v>2</v>
      </c>
      <c r="I8" s="45">
        <f>F8/(C8+F8)</f>
        <v>0.4049586776859504</v>
      </c>
      <c r="J8" s="33"/>
    </row>
    <row r="9" spans="1:10" x14ac:dyDescent="0.25">
      <c r="A9" s="5" t="s">
        <v>15</v>
      </c>
      <c r="B9" s="28" t="s">
        <v>18</v>
      </c>
      <c r="C9" s="31">
        <v>0</v>
      </c>
      <c r="D9" s="32">
        <v>0</v>
      </c>
      <c r="E9" s="33">
        <v>0</v>
      </c>
      <c r="F9" s="31">
        <v>0</v>
      </c>
      <c r="G9" s="32">
        <v>0</v>
      </c>
      <c r="H9" s="33">
        <v>0</v>
      </c>
      <c r="I9" s="45"/>
      <c r="J9" s="33"/>
    </row>
    <row r="10" spans="1:10" x14ac:dyDescent="0.25">
      <c r="A10" s="5" t="s">
        <v>15</v>
      </c>
      <c r="B10" s="28" t="s">
        <v>19</v>
      </c>
      <c r="C10" s="31">
        <v>244</v>
      </c>
      <c r="D10" s="32">
        <v>243</v>
      </c>
      <c r="E10" s="33">
        <v>1</v>
      </c>
      <c r="F10" s="31">
        <v>133</v>
      </c>
      <c r="G10" s="32">
        <v>132</v>
      </c>
      <c r="H10" s="33">
        <v>1</v>
      </c>
      <c r="I10" s="45">
        <f t="shared" ref="I10:I44" si="0">F10/(C10+F10)</f>
        <v>0.35278514588859416</v>
      </c>
      <c r="J10" s="33"/>
    </row>
    <row r="11" spans="1:10" x14ac:dyDescent="0.25">
      <c r="A11" s="5" t="s">
        <v>15</v>
      </c>
      <c r="B11" s="28" t="s">
        <v>20</v>
      </c>
      <c r="C11" s="31">
        <v>0</v>
      </c>
      <c r="D11" s="32">
        <v>0</v>
      </c>
      <c r="E11" s="33">
        <v>0</v>
      </c>
      <c r="F11" s="31">
        <v>0</v>
      </c>
      <c r="G11" s="32">
        <v>0</v>
      </c>
      <c r="H11" s="33">
        <v>0</v>
      </c>
      <c r="I11" s="45"/>
      <c r="J11" s="33"/>
    </row>
    <row r="12" spans="1:10" x14ac:dyDescent="0.25">
      <c r="A12" s="5" t="s">
        <v>15</v>
      </c>
      <c r="B12" s="28" t="s">
        <v>21</v>
      </c>
      <c r="C12" s="31">
        <v>45</v>
      </c>
      <c r="D12" s="32">
        <v>45</v>
      </c>
      <c r="E12" s="33">
        <v>0</v>
      </c>
      <c r="F12" s="31">
        <v>181</v>
      </c>
      <c r="G12" s="32">
        <v>179</v>
      </c>
      <c r="H12" s="33">
        <v>2</v>
      </c>
      <c r="I12" s="45">
        <f t="shared" si="0"/>
        <v>0.80088495575221241</v>
      </c>
      <c r="J12" s="33" t="s">
        <v>72</v>
      </c>
    </row>
    <row r="13" spans="1:10" x14ac:dyDescent="0.25">
      <c r="A13" s="5" t="s">
        <v>15</v>
      </c>
      <c r="B13" s="28" t="s">
        <v>22</v>
      </c>
      <c r="C13" s="31">
        <v>0</v>
      </c>
      <c r="D13" s="32">
        <v>0</v>
      </c>
      <c r="E13" s="33">
        <v>0</v>
      </c>
      <c r="F13" s="31">
        <v>0</v>
      </c>
      <c r="G13" s="32">
        <v>0</v>
      </c>
      <c r="H13" s="33">
        <v>0</v>
      </c>
      <c r="I13" s="45"/>
      <c r="J13" s="33"/>
    </row>
    <row r="14" spans="1:10" x14ac:dyDescent="0.25">
      <c r="A14" s="5" t="s">
        <v>15</v>
      </c>
      <c r="B14" s="28" t="s">
        <v>23</v>
      </c>
      <c r="C14" s="31">
        <v>0</v>
      </c>
      <c r="D14" s="32">
        <v>0</v>
      </c>
      <c r="E14" s="33">
        <v>0</v>
      </c>
      <c r="F14" s="31">
        <v>0</v>
      </c>
      <c r="G14" s="32">
        <v>0</v>
      </c>
      <c r="H14" s="33">
        <v>0</v>
      </c>
      <c r="I14" s="45"/>
      <c r="J14" s="33"/>
    </row>
    <row r="15" spans="1:10" x14ac:dyDescent="0.25">
      <c r="A15" s="5" t="s">
        <v>15</v>
      </c>
      <c r="B15" s="28" t="s">
        <v>24</v>
      </c>
      <c r="C15" s="31">
        <v>7</v>
      </c>
      <c r="D15" s="32">
        <v>7</v>
      </c>
      <c r="E15" s="33">
        <v>0</v>
      </c>
      <c r="F15" s="31">
        <v>103</v>
      </c>
      <c r="G15" s="32">
        <v>100</v>
      </c>
      <c r="H15" s="33">
        <v>3</v>
      </c>
      <c r="I15" s="45">
        <f t="shared" si="0"/>
        <v>0.9363636363636364</v>
      </c>
      <c r="J15" s="33" t="s">
        <v>72</v>
      </c>
    </row>
    <row r="16" spans="1:10" x14ac:dyDescent="0.25">
      <c r="A16" s="5" t="s">
        <v>15</v>
      </c>
      <c r="B16" s="28" t="s">
        <v>25</v>
      </c>
      <c r="C16" s="31">
        <v>142</v>
      </c>
      <c r="D16" s="32">
        <v>133</v>
      </c>
      <c r="E16" s="33">
        <v>9</v>
      </c>
      <c r="F16" s="31">
        <v>93</v>
      </c>
      <c r="G16" s="32">
        <v>93</v>
      </c>
      <c r="H16" s="33">
        <v>0</v>
      </c>
      <c r="I16" s="45">
        <f t="shared" si="0"/>
        <v>0.39574468085106385</v>
      </c>
      <c r="J16" s="33"/>
    </row>
    <row r="17" spans="1:10" x14ac:dyDescent="0.25">
      <c r="A17" s="5" t="s">
        <v>15</v>
      </c>
      <c r="B17" s="28" t="s">
        <v>26</v>
      </c>
      <c r="C17" s="31">
        <v>62</v>
      </c>
      <c r="D17" s="32">
        <v>57</v>
      </c>
      <c r="E17" s="33">
        <v>5</v>
      </c>
      <c r="F17" s="31">
        <v>33</v>
      </c>
      <c r="G17" s="32">
        <v>31</v>
      </c>
      <c r="H17" s="33">
        <v>2</v>
      </c>
      <c r="I17" s="45">
        <f t="shared" si="0"/>
        <v>0.3473684210526316</v>
      </c>
      <c r="J17" s="33"/>
    </row>
    <row r="18" spans="1:10" x14ac:dyDescent="0.25">
      <c r="A18" s="5" t="s">
        <v>15</v>
      </c>
      <c r="B18" s="28" t="s">
        <v>27</v>
      </c>
      <c r="C18" s="31">
        <v>16</v>
      </c>
      <c r="D18" s="32">
        <v>16</v>
      </c>
      <c r="E18" s="33">
        <v>0</v>
      </c>
      <c r="F18" s="31">
        <v>72</v>
      </c>
      <c r="G18" s="32">
        <v>72</v>
      </c>
      <c r="H18" s="33">
        <v>0</v>
      </c>
      <c r="I18" s="45">
        <f t="shared" si="0"/>
        <v>0.81818181818181823</v>
      </c>
      <c r="J18" s="33" t="s">
        <v>72</v>
      </c>
    </row>
    <row r="19" spans="1:10" x14ac:dyDescent="0.25">
      <c r="A19" s="5" t="s">
        <v>15</v>
      </c>
      <c r="B19" s="28" t="s">
        <v>28</v>
      </c>
      <c r="C19" s="31">
        <v>559</v>
      </c>
      <c r="D19" s="32">
        <v>551</v>
      </c>
      <c r="E19" s="33">
        <v>8</v>
      </c>
      <c r="F19" s="31">
        <v>95</v>
      </c>
      <c r="G19" s="32">
        <v>95</v>
      </c>
      <c r="H19" s="33">
        <v>0</v>
      </c>
      <c r="I19" s="45">
        <f t="shared" si="0"/>
        <v>0.14525993883792049</v>
      </c>
      <c r="J19" s="33"/>
    </row>
    <row r="20" spans="1:10" x14ac:dyDescent="0.25">
      <c r="A20" s="5" t="s">
        <v>15</v>
      </c>
      <c r="B20" s="28" t="s">
        <v>29</v>
      </c>
      <c r="C20" s="31">
        <v>535</v>
      </c>
      <c r="D20" s="32">
        <v>535</v>
      </c>
      <c r="E20" s="33">
        <v>0</v>
      </c>
      <c r="F20" s="31">
        <v>388</v>
      </c>
      <c r="G20" s="32">
        <v>384</v>
      </c>
      <c r="H20" s="33">
        <v>4</v>
      </c>
      <c r="I20" s="45">
        <f t="shared" si="0"/>
        <v>0.42036836403033584</v>
      </c>
      <c r="J20" s="33"/>
    </row>
    <row r="21" spans="1:10" x14ac:dyDescent="0.25">
      <c r="A21" s="5" t="s">
        <v>15</v>
      </c>
      <c r="B21" s="28" t="s">
        <v>30</v>
      </c>
      <c r="C21" s="31">
        <v>0</v>
      </c>
      <c r="D21" s="32">
        <v>0</v>
      </c>
      <c r="E21" s="33">
        <v>0</v>
      </c>
      <c r="F21" s="31">
        <v>0</v>
      </c>
      <c r="G21" s="32">
        <v>0</v>
      </c>
      <c r="H21" s="33">
        <v>0</v>
      </c>
      <c r="I21" s="45"/>
      <c r="J21" s="33"/>
    </row>
    <row r="22" spans="1:10" x14ac:dyDescent="0.25">
      <c r="A22" s="5" t="s">
        <v>15</v>
      </c>
      <c r="B22" s="28" t="s">
        <v>31</v>
      </c>
      <c r="C22" s="31">
        <v>34</v>
      </c>
      <c r="D22" s="32">
        <v>33</v>
      </c>
      <c r="E22" s="33">
        <v>1</v>
      </c>
      <c r="F22" s="31">
        <v>4</v>
      </c>
      <c r="G22" s="32">
        <v>3</v>
      </c>
      <c r="H22" s="33">
        <v>1</v>
      </c>
      <c r="I22" s="45">
        <f t="shared" si="0"/>
        <v>0.10526315789473684</v>
      </c>
      <c r="J22" s="33" t="s">
        <v>73</v>
      </c>
    </row>
    <row r="23" spans="1:10" x14ac:dyDescent="0.25">
      <c r="A23" s="5" t="s">
        <v>15</v>
      </c>
      <c r="B23" s="28" t="s">
        <v>32</v>
      </c>
      <c r="C23" s="31">
        <v>794</v>
      </c>
      <c r="D23" s="32">
        <v>791</v>
      </c>
      <c r="E23" s="33">
        <v>3</v>
      </c>
      <c r="F23" s="31">
        <v>390</v>
      </c>
      <c r="G23" s="32">
        <v>378</v>
      </c>
      <c r="H23" s="33">
        <v>12</v>
      </c>
      <c r="I23" s="45">
        <f t="shared" si="0"/>
        <v>0.32939189189189189</v>
      </c>
      <c r="J23" s="33"/>
    </row>
    <row r="24" spans="1:10" x14ac:dyDescent="0.25">
      <c r="A24" s="5" t="s">
        <v>15</v>
      </c>
      <c r="B24" s="28" t="s">
        <v>33</v>
      </c>
      <c r="C24" s="31">
        <v>2439</v>
      </c>
      <c r="D24" s="32">
        <v>2439</v>
      </c>
      <c r="E24" s="33">
        <v>0</v>
      </c>
      <c r="F24" s="31">
        <v>1697</v>
      </c>
      <c r="G24" s="32">
        <v>1697</v>
      </c>
      <c r="H24" s="33">
        <v>0</v>
      </c>
      <c r="I24" s="45">
        <f t="shared" si="0"/>
        <v>0.4102998065764023</v>
      </c>
      <c r="J24" s="33"/>
    </row>
    <row r="25" spans="1:10" x14ac:dyDescent="0.25">
      <c r="A25" s="5" t="s">
        <v>34</v>
      </c>
      <c r="B25" s="28" t="s">
        <v>35</v>
      </c>
      <c r="C25" s="31">
        <v>365</v>
      </c>
      <c r="D25" s="32">
        <v>354</v>
      </c>
      <c r="E25" s="33">
        <v>11</v>
      </c>
      <c r="F25" s="31">
        <v>304</v>
      </c>
      <c r="G25" s="32">
        <v>293</v>
      </c>
      <c r="H25" s="33">
        <v>11</v>
      </c>
      <c r="I25" s="45">
        <f t="shared" si="0"/>
        <v>0.45440956651718983</v>
      </c>
      <c r="J25" s="33"/>
    </row>
    <row r="26" spans="1:10" x14ac:dyDescent="0.25">
      <c r="A26" s="5" t="s">
        <v>34</v>
      </c>
      <c r="B26" s="28" t="s">
        <v>36</v>
      </c>
      <c r="C26" s="31">
        <v>0</v>
      </c>
      <c r="D26" s="32">
        <v>0</v>
      </c>
      <c r="E26" s="33">
        <v>0</v>
      </c>
      <c r="F26" s="31">
        <v>0</v>
      </c>
      <c r="G26" s="32">
        <v>0</v>
      </c>
      <c r="H26" s="33">
        <v>0</v>
      </c>
      <c r="I26" s="45"/>
      <c r="J26" s="33"/>
    </row>
    <row r="27" spans="1:10" x14ac:dyDescent="0.25">
      <c r="A27" s="9" t="s">
        <v>34</v>
      </c>
      <c r="B27" s="29" t="s">
        <v>37</v>
      </c>
      <c r="C27" s="31">
        <v>365</v>
      </c>
      <c r="D27" s="32">
        <v>365</v>
      </c>
      <c r="E27" s="33">
        <v>0</v>
      </c>
      <c r="F27" s="31">
        <v>304</v>
      </c>
      <c r="G27" s="32">
        <v>303</v>
      </c>
      <c r="H27" s="33">
        <v>1</v>
      </c>
      <c r="I27" s="45">
        <f t="shared" si="0"/>
        <v>0.45440956651718983</v>
      </c>
      <c r="J27" s="33"/>
    </row>
    <row r="28" spans="1:10" x14ac:dyDescent="0.25">
      <c r="A28" s="5" t="s">
        <v>34</v>
      </c>
      <c r="B28" s="28" t="s">
        <v>38</v>
      </c>
      <c r="C28" s="31">
        <v>3</v>
      </c>
      <c r="D28" s="32">
        <v>2</v>
      </c>
      <c r="E28" s="33">
        <v>1</v>
      </c>
      <c r="F28" s="31">
        <v>11</v>
      </c>
      <c r="G28" s="32">
        <v>11</v>
      </c>
      <c r="H28" s="33">
        <v>0</v>
      </c>
      <c r="I28" s="45">
        <f t="shared" si="0"/>
        <v>0.7857142857142857</v>
      </c>
      <c r="J28" s="33" t="s">
        <v>74</v>
      </c>
    </row>
    <row r="29" spans="1:10" x14ac:dyDescent="0.25">
      <c r="A29" s="5" t="s">
        <v>34</v>
      </c>
      <c r="B29" s="28" t="s">
        <v>39</v>
      </c>
      <c r="C29" s="31">
        <v>4</v>
      </c>
      <c r="D29" s="32">
        <v>2</v>
      </c>
      <c r="E29" s="33">
        <v>2</v>
      </c>
      <c r="F29" s="31">
        <v>7</v>
      </c>
      <c r="G29" s="32">
        <v>7</v>
      </c>
      <c r="H29" s="33">
        <v>0</v>
      </c>
      <c r="I29" s="45">
        <f t="shared" si="0"/>
        <v>0.63636363636363635</v>
      </c>
      <c r="J29" s="33"/>
    </row>
    <row r="30" spans="1:10" x14ac:dyDescent="0.25">
      <c r="A30" s="5" t="s">
        <v>34</v>
      </c>
      <c r="B30" s="28" t="s">
        <v>40</v>
      </c>
      <c r="C30" s="31">
        <v>0</v>
      </c>
      <c r="D30" s="32">
        <v>0</v>
      </c>
      <c r="E30" s="33">
        <v>0</v>
      </c>
      <c r="F30" s="31">
        <v>1</v>
      </c>
      <c r="G30" s="32">
        <v>1</v>
      </c>
      <c r="H30" s="33">
        <v>0</v>
      </c>
      <c r="I30" s="45">
        <f t="shared" si="0"/>
        <v>1</v>
      </c>
      <c r="J30" s="33"/>
    </row>
    <row r="31" spans="1:10" x14ac:dyDescent="0.25">
      <c r="A31" s="5" t="s">
        <v>34</v>
      </c>
      <c r="B31" s="28" t="s">
        <v>41</v>
      </c>
      <c r="C31" s="31">
        <v>0</v>
      </c>
      <c r="D31" s="32">
        <v>0</v>
      </c>
      <c r="E31" s="33">
        <v>0</v>
      </c>
      <c r="F31" s="31">
        <v>3</v>
      </c>
      <c r="G31" s="32">
        <v>3</v>
      </c>
      <c r="H31" s="33">
        <v>0</v>
      </c>
      <c r="I31" s="45">
        <f t="shared" si="0"/>
        <v>1</v>
      </c>
      <c r="J31" s="33"/>
    </row>
    <row r="32" spans="1:10" x14ac:dyDescent="0.25">
      <c r="A32" s="5" t="s">
        <v>34</v>
      </c>
      <c r="B32" s="28" t="s">
        <v>42</v>
      </c>
      <c r="C32" s="31">
        <v>0</v>
      </c>
      <c r="D32" s="32">
        <v>0</v>
      </c>
      <c r="E32" s="33">
        <v>0</v>
      </c>
      <c r="F32" s="31">
        <v>0</v>
      </c>
      <c r="G32" s="32">
        <v>0</v>
      </c>
      <c r="H32" s="33">
        <v>0</v>
      </c>
      <c r="I32" s="45"/>
      <c r="J32" s="33"/>
    </row>
    <row r="33" spans="1:10" x14ac:dyDescent="0.25">
      <c r="A33" s="5" t="s">
        <v>34</v>
      </c>
      <c r="B33" s="28" t="s">
        <v>43</v>
      </c>
      <c r="C33" s="31">
        <v>0</v>
      </c>
      <c r="D33" s="32">
        <v>0</v>
      </c>
      <c r="E33" s="33">
        <v>0</v>
      </c>
      <c r="F33" s="31">
        <v>0</v>
      </c>
      <c r="G33" s="32">
        <v>0</v>
      </c>
      <c r="H33" s="33">
        <v>0</v>
      </c>
      <c r="I33" s="45"/>
      <c r="J33" s="33"/>
    </row>
    <row r="34" spans="1:10" x14ac:dyDescent="0.25">
      <c r="A34" s="5" t="s">
        <v>34</v>
      </c>
      <c r="B34" s="28" t="s">
        <v>44</v>
      </c>
      <c r="C34" s="31">
        <v>275</v>
      </c>
      <c r="D34" s="32">
        <v>263</v>
      </c>
      <c r="E34" s="33">
        <v>12</v>
      </c>
      <c r="F34" s="31">
        <v>81</v>
      </c>
      <c r="G34" s="32">
        <v>80</v>
      </c>
      <c r="H34" s="33">
        <v>1</v>
      </c>
      <c r="I34" s="45">
        <f t="shared" si="0"/>
        <v>0.22752808988764045</v>
      </c>
      <c r="J34" s="33"/>
    </row>
    <row r="35" spans="1:10" x14ac:dyDescent="0.25">
      <c r="A35" s="5" t="s">
        <v>34</v>
      </c>
      <c r="B35" s="28" t="s">
        <v>45</v>
      </c>
      <c r="C35" s="31">
        <v>229578</v>
      </c>
      <c r="D35" s="32">
        <v>229567</v>
      </c>
      <c r="E35" s="33">
        <v>11</v>
      </c>
      <c r="F35" s="31">
        <v>166896</v>
      </c>
      <c r="G35" s="32">
        <v>139548</v>
      </c>
      <c r="H35" s="33">
        <v>27348</v>
      </c>
      <c r="I35" s="45">
        <f t="shared" si="0"/>
        <v>0.42095068024637178</v>
      </c>
      <c r="J35" s="33"/>
    </row>
    <row r="36" spans="1:10" x14ac:dyDescent="0.25">
      <c r="A36" s="5" t="s">
        <v>34</v>
      </c>
      <c r="B36" s="28" t="s">
        <v>46</v>
      </c>
      <c r="C36" s="31">
        <v>15</v>
      </c>
      <c r="D36" s="32">
        <v>15</v>
      </c>
      <c r="E36" s="33">
        <v>0</v>
      </c>
      <c r="F36" s="31">
        <v>44</v>
      </c>
      <c r="G36" s="32">
        <v>44</v>
      </c>
      <c r="H36" s="33">
        <v>0</v>
      </c>
      <c r="I36" s="45">
        <f t="shared" si="0"/>
        <v>0.74576271186440679</v>
      </c>
      <c r="J36" s="33"/>
    </row>
    <row r="37" spans="1:10" x14ac:dyDescent="0.25">
      <c r="A37" s="5" t="s">
        <v>34</v>
      </c>
      <c r="B37" s="28" t="s">
        <v>47</v>
      </c>
      <c r="C37" s="31">
        <v>239</v>
      </c>
      <c r="D37" s="32">
        <v>234</v>
      </c>
      <c r="E37" s="33">
        <v>5</v>
      </c>
      <c r="F37" s="31">
        <v>80</v>
      </c>
      <c r="G37" s="32">
        <v>71</v>
      </c>
      <c r="H37" s="33">
        <v>9</v>
      </c>
      <c r="I37" s="45">
        <f t="shared" si="0"/>
        <v>0.2507836990595611</v>
      </c>
      <c r="J37" s="33"/>
    </row>
    <row r="38" spans="1:10" x14ac:dyDescent="0.25">
      <c r="A38" s="5" t="s">
        <v>34</v>
      </c>
      <c r="B38" s="28" t="s">
        <v>48</v>
      </c>
      <c r="C38" s="31">
        <v>232</v>
      </c>
      <c r="D38" s="32">
        <v>232</v>
      </c>
      <c r="E38" s="33">
        <v>0</v>
      </c>
      <c r="F38" s="31">
        <v>102</v>
      </c>
      <c r="G38" s="32">
        <v>102</v>
      </c>
      <c r="H38" s="33">
        <v>0</v>
      </c>
      <c r="I38" s="45">
        <f t="shared" si="0"/>
        <v>0.30538922155688625</v>
      </c>
      <c r="J38" s="33"/>
    </row>
    <row r="39" spans="1:10" x14ac:dyDescent="0.25">
      <c r="A39" s="5" t="s">
        <v>34</v>
      </c>
      <c r="B39" s="28" t="s">
        <v>49</v>
      </c>
      <c r="C39" s="31">
        <v>120</v>
      </c>
      <c r="D39" s="32">
        <v>106</v>
      </c>
      <c r="E39" s="33">
        <v>14</v>
      </c>
      <c r="F39" s="31">
        <v>74</v>
      </c>
      <c r="G39" s="32">
        <v>72</v>
      </c>
      <c r="H39" s="33">
        <v>2</v>
      </c>
      <c r="I39" s="45">
        <f t="shared" si="0"/>
        <v>0.38144329896907214</v>
      </c>
      <c r="J39" s="33"/>
    </row>
    <row r="40" spans="1:10" x14ac:dyDescent="0.25">
      <c r="A40" s="5" t="s">
        <v>34</v>
      </c>
      <c r="B40" s="28" t="s">
        <v>50</v>
      </c>
      <c r="C40" s="31">
        <v>0</v>
      </c>
      <c r="D40" s="32">
        <v>0</v>
      </c>
      <c r="E40" s="33">
        <v>0</v>
      </c>
      <c r="F40" s="31">
        <v>0</v>
      </c>
      <c r="G40" s="32">
        <v>0</v>
      </c>
      <c r="H40" s="33">
        <v>0</v>
      </c>
      <c r="I40" s="45"/>
      <c r="J40" s="33" t="s">
        <v>80</v>
      </c>
    </row>
    <row r="41" spans="1:10" x14ac:dyDescent="0.25">
      <c r="A41" s="5" t="s">
        <v>34</v>
      </c>
      <c r="B41" s="28" t="s">
        <v>51</v>
      </c>
      <c r="C41" s="31">
        <v>0</v>
      </c>
      <c r="D41" s="32">
        <v>0</v>
      </c>
      <c r="E41" s="33">
        <v>0</v>
      </c>
      <c r="F41" s="31">
        <v>0</v>
      </c>
      <c r="G41" s="32">
        <v>0</v>
      </c>
      <c r="H41" s="33">
        <v>0</v>
      </c>
      <c r="I41" s="45"/>
      <c r="J41" s="33" t="s">
        <v>80</v>
      </c>
    </row>
    <row r="42" spans="1:10" x14ac:dyDescent="0.25">
      <c r="A42" s="5" t="s">
        <v>34</v>
      </c>
      <c r="B42" s="28" t="s">
        <v>52</v>
      </c>
      <c r="C42" s="31">
        <v>0</v>
      </c>
      <c r="D42" s="32">
        <v>0</v>
      </c>
      <c r="E42" s="33">
        <v>0</v>
      </c>
      <c r="F42" s="31">
        <v>0</v>
      </c>
      <c r="G42" s="32">
        <v>0</v>
      </c>
      <c r="H42" s="33">
        <v>0</v>
      </c>
      <c r="I42" s="45"/>
      <c r="J42" s="33" t="s">
        <v>80</v>
      </c>
    </row>
    <row r="43" spans="1:10" x14ac:dyDescent="0.25">
      <c r="A43" s="5" t="s">
        <v>34</v>
      </c>
      <c r="B43" s="28" t="s">
        <v>53</v>
      </c>
      <c r="C43" s="31">
        <v>11675</v>
      </c>
      <c r="D43" s="32">
        <v>11652</v>
      </c>
      <c r="E43" s="33">
        <v>23</v>
      </c>
      <c r="F43" s="31">
        <v>6807</v>
      </c>
      <c r="G43" s="32">
        <v>6735</v>
      </c>
      <c r="H43" s="33">
        <v>72</v>
      </c>
      <c r="I43" s="45">
        <f t="shared" si="0"/>
        <v>0.36830429607185372</v>
      </c>
      <c r="J43" s="33"/>
    </row>
    <row r="44" spans="1:10" x14ac:dyDescent="0.25">
      <c r="A44" s="5" t="s">
        <v>34</v>
      </c>
      <c r="B44" s="28" t="s">
        <v>54</v>
      </c>
      <c r="C44" s="31">
        <v>11675</v>
      </c>
      <c r="D44" s="32">
        <v>10881</v>
      </c>
      <c r="E44" s="33">
        <v>794</v>
      </c>
      <c r="F44" s="31">
        <v>6807</v>
      </c>
      <c r="G44" s="32">
        <v>6100</v>
      </c>
      <c r="H44" s="33">
        <v>707</v>
      </c>
      <c r="I44" s="45">
        <f t="shared" si="0"/>
        <v>0.36830429607185372</v>
      </c>
      <c r="J44" s="33"/>
    </row>
    <row r="45" spans="1:10" x14ac:dyDescent="0.25">
      <c r="A45" s="5" t="s">
        <v>34</v>
      </c>
      <c r="B45" s="5" t="s">
        <v>66</v>
      </c>
      <c r="C45" s="34"/>
      <c r="D45" s="35"/>
      <c r="E45" s="33"/>
      <c r="F45" s="34"/>
      <c r="G45" s="35"/>
      <c r="H45" s="33"/>
      <c r="I45" s="45"/>
      <c r="J45" s="33"/>
    </row>
    <row r="46" spans="1:10" x14ac:dyDescent="0.25">
      <c r="A46" s="5" t="s">
        <v>34</v>
      </c>
      <c r="B46" s="5" t="s">
        <v>67</v>
      </c>
      <c r="C46" s="36"/>
      <c r="D46" s="32"/>
      <c r="E46" s="33"/>
      <c r="F46" s="36"/>
      <c r="G46" s="32"/>
      <c r="H46" s="33"/>
      <c r="I46" s="45"/>
      <c r="J46" s="33"/>
    </row>
    <row r="47" spans="1:10" x14ac:dyDescent="0.25">
      <c r="A47" s="5" t="s">
        <v>34</v>
      </c>
      <c r="B47" s="5" t="s">
        <v>71</v>
      </c>
      <c r="C47" s="36"/>
      <c r="D47" s="37"/>
      <c r="E47" s="33"/>
      <c r="F47" s="36"/>
      <c r="G47" s="32"/>
      <c r="H47" s="33"/>
      <c r="I47" s="45"/>
      <c r="J47" s="33"/>
    </row>
    <row r="48" spans="1:10" ht="15.75" thickBot="1" x14ac:dyDescent="0.3">
      <c r="A48" s="5" t="s">
        <v>34</v>
      </c>
      <c r="B48" s="28" t="s">
        <v>75</v>
      </c>
      <c r="C48" s="41"/>
      <c r="D48" s="38"/>
      <c r="E48" s="39"/>
      <c r="F48" s="42"/>
      <c r="G48" s="38"/>
      <c r="H48" s="40"/>
      <c r="I48" s="46"/>
      <c r="J48" s="40"/>
    </row>
  </sheetData>
  <mergeCells count="12">
    <mergeCell ref="F4:H4"/>
    <mergeCell ref="I5:I6"/>
    <mergeCell ref="J5:J6"/>
    <mergeCell ref="E5:E6"/>
    <mergeCell ref="F5:F6"/>
    <mergeCell ref="G5:G6"/>
    <mergeCell ref="H5:H6"/>
    <mergeCell ref="A5:A6"/>
    <mergeCell ref="B5:B6"/>
    <mergeCell ref="C5:C6"/>
    <mergeCell ref="D5:D6"/>
    <mergeCell ref="C4:E4"/>
  </mergeCells>
  <conditionalFormatting sqref="C48 C7:C43 E48 E7:E43">
    <cfRule type="cellIs" dxfId="55" priority="31" operator="lessThan">
      <formula>0</formula>
    </cfRule>
    <cfRule type="cellIs" dxfId="54" priority="33" operator="lessThan">
      <formula>0</formula>
    </cfRule>
  </conditionalFormatting>
  <conditionalFormatting sqref="C27:C32">
    <cfRule type="cellIs" dxfId="53" priority="32" operator="lessThan">
      <formula>-2</formula>
    </cfRule>
  </conditionalFormatting>
  <conditionalFormatting sqref="C7:E48">
    <cfRule type="cellIs" dxfId="52" priority="26" operator="lessThan">
      <formula>0</formula>
    </cfRule>
  </conditionalFormatting>
  <conditionalFormatting sqref="F44:H47 F7:F43 H48 F48 H7:H43">
    <cfRule type="cellIs" dxfId="51" priority="10" operator="lessThan">
      <formula>0</formula>
    </cfRule>
  </conditionalFormatting>
  <conditionalFormatting sqref="F48 F7:F43 H48 H7:H43">
    <cfRule type="cellIs" dxfId="50" priority="11" operator="lessThan">
      <formula>0</formula>
    </cfRule>
    <cfRule type="cellIs" dxfId="49" priority="13" operator="lessThan">
      <formula>0</formula>
    </cfRule>
  </conditionalFormatting>
  <conditionalFormatting sqref="F27:F32">
    <cfRule type="cellIs" dxfId="48" priority="12" operator="lessThan">
      <formula>-2</formula>
    </cfRule>
  </conditionalFormatting>
  <conditionalFormatting sqref="G7:G43">
    <cfRule type="cellIs" dxfId="47" priority="9" operator="lessThan">
      <formula>0</formula>
    </cfRule>
  </conditionalFormatting>
  <conditionalFormatting sqref="D48">
    <cfRule type="cellIs" dxfId="46" priority="7" operator="lessThan">
      <formula>0</formula>
    </cfRule>
    <cfRule type="cellIs" dxfId="45" priority="8" operator="lessThan">
      <formula>0</formula>
    </cfRule>
  </conditionalFormatting>
  <conditionalFormatting sqref="G48">
    <cfRule type="cellIs" dxfId="44" priority="6" operator="lessThan">
      <formula>0</formula>
    </cfRule>
  </conditionalFormatting>
  <conditionalFormatting sqref="G48">
    <cfRule type="cellIs" dxfId="43" priority="4" operator="lessThan">
      <formula>0</formula>
    </cfRule>
    <cfRule type="cellIs" dxfId="42" priority="5" operator="lessThan">
      <formula>0</formula>
    </cfRule>
  </conditionalFormatting>
  <conditionalFormatting sqref="I7:J48">
    <cfRule type="cellIs" dxfId="41" priority="1" operator="lessThan">
      <formula>0</formula>
    </cfRule>
  </conditionalFormatting>
  <conditionalFormatting sqref="I48:J48 I7:J43">
    <cfRule type="cellIs" dxfId="40" priority="2" operator="lessThan">
      <formula>0</formula>
    </cfRule>
    <cfRule type="cellIs" dxfId="39" priority="3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94AB4-54A7-407E-A1E1-DD091B4EBA8C}">
  <dimension ref="A1:Z52"/>
  <sheetViews>
    <sheetView tabSelected="1" topLeftCell="E1" workbookViewId="0">
      <selection activeCell="F11" sqref="F11"/>
    </sheetView>
  </sheetViews>
  <sheetFormatPr defaultColWidth="9.140625" defaultRowHeight="15" x14ac:dyDescent="0.25"/>
  <cols>
    <col min="1" max="2" width="11.28515625" style="47" hidden="1" customWidth="1"/>
    <col min="3" max="4" width="11.85546875" style="47" hidden="1" customWidth="1"/>
    <col min="5" max="5" width="8" customWidth="1"/>
    <col min="6" max="6" width="78.85546875" customWidth="1"/>
    <col min="7" max="8" width="12.28515625" customWidth="1"/>
    <col min="9" max="9" width="13.5703125" customWidth="1"/>
    <col min="10" max="10" width="13.5703125" style="47" hidden="1" customWidth="1"/>
    <col min="11" max="11" width="13.5703125" style="43" hidden="1" customWidth="1"/>
    <col min="12" max="12" width="13.5703125" style="61" hidden="1" customWidth="1"/>
    <col min="13" max="13" width="10.42578125" customWidth="1"/>
    <col min="14" max="14" width="14.5703125" customWidth="1"/>
    <col min="15" max="15" width="9.42578125" customWidth="1"/>
    <col min="16" max="16" width="10.140625" style="16" customWidth="1"/>
    <col min="17" max="17" width="6.28515625" customWidth="1"/>
    <col min="18" max="19" width="11" style="61" customWidth="1"/>
  </cols>
  <sheetData>
    <row r="1" spans="1:19" ht="18.75" x14ac:dyDescent="0.3">
      <c r="E1" s="1" t="s">
        <v>101</v>
      </c>
      <c r="G1" s="76" t="s">
        <v>0</v>
      </c>
      <c r="H1" s="76"/>
      <c r="I1" s="2">
        <v>41</v>
      </c>
      <c r="J1" s="54"/>
      <c r="K1" s="56"/>
      <c r="L1" s="60"/>
    </row>
    <row r="2" spans="1:19" x14ac:dyDescent="0.25">
      <c r="G2" s="76" t="s">
        <v>2</v>
      </c>
      <c r="H2" s="76"/>
      <c r="I2" s="2">
        <v>292457</v>
      </c>
      <c r="J2" s="54"/>
      <c r="K2" s="56"/>
      <c r="L2" s="60"/>
    </row>
    <row r="3" spans="1:19" x14ac:dyDescent="0.25">
      <c r="G3" s="76" t="s">
        <v>3</v>
      </c>
      <c r="H3" s="76"/>
      <c r="I3" s="2">
        <v>102181</v>
      </c>
      <c r="J3" s="54"/>
      <c r="K3" s="56"/>
      <c r="L3" s="60"/>
    </row>
    <row r="4" spans="1:19" x14ac:dyDescent="0.25">
      <c r="G4" s="3"/>
      <c r="H4" s="3"/>
    </row>
    <row r="5" spans="1:19" ht="35.25" customHeight="1" x14ac:dyDescent="0.25">
      <c r="A5" s="71" t="s">
        <v>95</v>
      </c>
      <c r="B5" s="71" t="s">
        <v>97</v>
      </c>
      <c r="C5" s="89" t="s">
        <v>94</v>
      </c>
      <c r="D5" s="89" t="s">
        <v>98</v>
      </c>
      <c r="E5" s="71" t="s">
        <v>4</v>
      </c>
      <c r="F5" s="71" t="s">
        <v>5</v>
      </c>
      <c r="G5" s="71" t="s">
        <v>6</v>
      </c>
      <c r="H5" s="71" t="s">
        <v>7</v>
      </c>
      <c r="I5" s="71" t="s">
        <v>8</v>
      </c>
      <c r="J5" s="91" t="s">
        <v>90</v>
      </c>
      <c r="K5" s="93" t="s">
        <v>91</v>
      </c>
      <c r="L5" s="95" t="s">
        <v>93</v>
      </c>
      <c r="M5" s="71" t="s">
        <v>9</v>
      </c>
      <c r="N5" s="71"/>
      <c r="O5" s="71"/>
      <c r="P5" s="77" t="s">
        <v>64</v>
      </c>
      <c r="R5" s="102" t="s">
        <v>10</v>
      </c>
      <c r="S5" s="102" t="s">
        <v>11</v>
      </c>
    </row>
    <row r="6" spans="1:19" ht="72" customHeight="1" x14ac:dyDescent="0.25">
      <c r="A6" s="71"/>
      <c r="B6" s="71"/>
      <c r="C6" s="90"/>
      <c r="D6" s="90"/>
      <c r="E6" s="71"/>
      <c r="F6" s="71"/>
      <c r="G6" s="71"/>
      <c r="H6" s="71"/>
      <c r="I6" s="71"/>
      <c r="J6" s="92"/>
      <c r="K6" s="94"/>
      <c r="L6" s="96"/>
      <c r="M6" s="4" t="s">
        <v>12</v>
      </c>
      <c r="N6" s="4" t="s">
        <v>13</v>
      </c>
      <c r="O6" s="4" t="s">
        <v>14</v>
      </c>
      <c r="P6" s="77"/>
      <c r="R6" s="102"/>
      <c r="S6" s="102"/>
    </row>
    <row r="7" spans="1:19" x14ac:dyDescent="0.25">
      <c r="A7" s="48" t="s">
        <v>96</v>
      </c>
      <c r="B7" s="48"/>
      <c r="C7" s="51" t="e">
        <f t="shared" ref="C7:C10" si="0">1-I7/G7</f>
        <v>#DIV/0!</v>
      </c>
      <c r="D7" s="51"/>
      <c r="E7" s="5" t="s">
        <v>15</v>
      </c>
      <c r="F7" s="5" t="s">
        <v>16</v>
      </c>
      <c r="G7" s="97">
        <f>+H7+I7</f>
        <v>0</v>
      </c>
      <c r="H7" s="97">
        <v>0</v>
      </c>
      <c r="I7" s="97">
        <f>+M7+N7+O7</f>
        <v>0</v>
      </c>
      <c r="J7" s="98" t="s">
        <v>92</v>
      </c>
      <c r="K7" s="99"/>
      <c r="L7" s="97"/>
      <c r="M7" s="97">
        <v>0</v>
      </c>
      <c r="N7" s="97">
        <v>0</v>
      </c>
      <c r="O7" s="97">
        <v>0</v>
      </c>
      <c r="P7" s="107">
        <v>0</v>
      </c>
      <c r="R7" s="97">
        <f t="shared" ref="R7:R34" si="1">+H7</f>
        <v>0</v>
      </c>
      <c r="S7" s="97">
        <f>+O7</f>
        <v>0</v>
      </c>
    </row>
    <row r="8" spans="1:19" x14ac:dyDescent="0.25">
      <c r="A8" s="48" t="s">
        <v>96</v>
      </c>
      <c r="B8" s="48"/>
      <c r="C8" s="51">
        <f t="shared" si="0"/>
        <v>0.9173553719008265</v>
      </c>
      <c r="D8" s="51"/>
      <c r="E8" s="5" t="s">
        <v>15</v>
      </c>
      <c r="F8" s="5" t="s">
        <v>17</v>
      </c>
      <c r="G8" s="97">
        <f>+H8+I8</f>
        <v>121</v>
      </c>
      <c r="H8" s="97">
        <f>43+4+55+1+8</f>
        <v>111</v>
      </c>
      <c r="I8" s="97">
        <f>+M8+N8+O8</f>
        <v>10</v>
      </c>
      <c r="J8" s="98" t="s">
        <v>86</v>
      </c>
      <c r="K8" s="99">
        <v>0.9</v>
      </c>
      <c r="L8" s="97">
        <f t="shared" ref="L8:L15" si="2">(G8*(1-K8))*30</f>
        <v>362.99999999999994</v>
      </c>
      <c r="M8" s="97">
        <v>0</v>
      </c>
      <c r="N8" s="97">
        <v>0</v>
      </c>
      <c r="O8" s="97">
        <f>2+6+1+1</f>
        <v>10</v>
      </c>
      <c r="P8" s="108">
        <f>(45*9+8*4+61*7+2*9+9*6)/G8</f>
        <v>7.7355371900826446</v>
      </c>
      <c r="R8" s="97">
        <f t="shared" si="1"/>
        <v>111</v>
      </c>
      <c r="S8" s="97">
        <f t="shared" ref="S8:S34" si="3">+O8</f>
        <v>10</v>
      </c>
    </row>
    <row r="9" spans="1:19" x14ac:dyDescent="0.25">
      <c r="A9" s="48" t="s">
        <v>96</v>
      </c>
      <c r="B9" s="48"/>
      <c r="C9" s="51" t="e">
        <f t="shared" si="0"/>
        <v>#DIV/0!</v>
      </c>
      <c r="D9" s="51"/>
      <c r="E9" s="5" t="s">
        <v>15</v>
      </c>
      <c r="F9" s="5" t="s">
        <v>18</v>
      </c>
      <c r="G9" s="97">
        <f>+H9+I9</f>
        <v>0</v>
      </c>
      <c r="H9" s="97">
        <v>0</v>
      </c>
      <c r="I9" s="97">
        <f>+M9+N9+O9</f>
        <v>0</v>
      </c>
      <c r="J9" s="98" t="s">
        <v>92</v>
      </c>
      <c r="K9" s="99"/>
      <c r="L9" s="97">
        <f t="shared" si="2"/>
        <v>0</v>
      </c>
      <c r="M9" s="97">
        <v>0</v>
      </c>
      <c r="N9" s="97">
        <v>0</v>
      </c>
      <c r="O9" s="97">
        <v>0</v>
      </c>
      <c r="P9" s="107">
        <v>0</v>
      </c>
      <c r="R9" s="97">
        <f t="shared" si="1"/>
        <v>0</v>
      </c>
      <c r="S9" s="97">
        <f t="shared" si="3"/>
        <v>0</v>
      </c>
    </row>
    <row r="10" spans="1:19" x14ac:dyDescent="0.25">
      <c r="A10" s="48" t="s">
        <v>96</v>
      </c>
      <c r="B10" s="48"/>
      <c r="C10" s="51">
        <f t="shared" si="0"/>
        <v>0.99469496021220161</v>
      </c>
      <c r="D10" s="51"/>
      <c r="E10" s="5" t="s">
        <v>15</v>
      </c>
      <c r="F10" s="5" t="s">
        <v>19</v>
      </c>
      <c r="G10" s="97">
        <f>+H10+I10</f>
        <v>377</v>
      </c>
      <c r="H10" s="97">
        <f>96+1+35+175+9+59</f>
        <v>375</v>
      </c>
      <c r="I10" s="97">
        <f>+M10+N10+O10</f>
        <v>2</v>
      </c>
      <c r="J10" s="98" t="s">
        <v>84</v>
      </c>
      <c r="K10" s="99">
        <v>0.9</v>
      </c>
      <c r="L10" s="97">
        <f t="shared" si="2"/>
        <v>1130.9999999999995</v>
      </c>
      <c r="M10" s="97">
        <v>0</v>
      </c>
      <c r="N10" s="97">
        <v>0</v>
      </c>
      <c r="O10" s="97">
        <f>1+1</f>
        <v>2</v>
      </c>
      <c r="P10" s="108">
        <f>++(97*7+1*6+35*5+175*6+9*5+60*8)/G10</f>
        <v>6.4588859416445628</v>
      </c>
      <c r="R10" s="97">
        <f t="shared" si="1"/>
        <v>375</v>
      </c>
      <c r="S10" s="97">
        <f t="shared" si="3"/>
        <v>2</v>
      </c>
    </row>
    <row r="11" spans="1:19" x14ac:dyDescent="0.25">
      <c r="A11" s="48" t="s">
        <v>96</v>
      </c>
      <c r="B11" s="48"/>
      <c r="C11" s="51" t="e">
        <f t="shared" ref="C11:C15" si="4">1-I11/G11</f>
        <v>#DIV/0!</v>
      </c>
      <c r="D11" s="51"/>
      <c r="E11" s="5" t="s">
        <v>15</v>
      </c>
      <c r="F11" s="5" t="s">
        <v>20</v>
      </c>
      <c r="G11" s="97">
        <f t="shared" ref="G11:G48" si="5">+H11+I11</f>
        <v>0</v>
      </c>
      <c r="H11" s="97">
        <v>0</v>
      </c>
      <c r="I11" s="97">
        <f t="shared" ref="I11:I48" si="6">+M11+N11+O11</f>
        <v>0</v>
      </c>
      <c r="J11" s="98" t="s">
        <v>86</v>
      </c>
      <c r="K11" s="99"/>
      <c r="L11" s="97">
        <f t="shared" si="2"/>
        <v>0</v>
      </c>
      <c r="M11" s="97">
        <v>0</v>
      </c>
      <c r="N11" s="97">
        <v>0</v>
      </c>
      <c r="O11" s="97">
        <v>0</v>
      </c>
      <c r="P11" s="107">
        <v>0</v>
      </c>
      <c r="R11" s="97">
        <f t="shared" si="1"/>
        <v>0</v>
      </c>
      <c r="S11" s="97">
        <f t="shared" si="3"/>
        <v>0</v>
      </c>
    </row>
    <row r="12" spans="1:19" x14ac:dyDescent="0.25">
      <c r="A12" s="48" t="s">
        <v>96</v>
      </c>
      <c r="B12" s="48"/>
      <c r="C12" s="51">
        <f t="shared" si="4"/>
        <v>0.99115044247787609</v>
      </c>
      <c r="D12" s="51"/>
      <c r="E12" s="5" t="s">
        <v>15</v>
      </c>
      <c r="F12" s="5" t="s">
        <v>21</v>
      </c>
      <c r="G12" s="97">
        <f t="shared" si="5"/>
        <v>226</v>
      </c>
      <c r="H12" s="97">
        <f>35+10+143+36</f>
        <v>224</v>
      </c>
      <c r="I12" s="97">
        <f t="shared" si="6"/>
        <v>2</v>
      </c>
      <c r="J12" s="98" t="s">
        <v>85</v>
      </c>
      <c r="K12" s="99">
        <v>0.95</v>
      </c>
      <c r="L12" s="97">
        <f t="shared" si="2"/>
        <v>339.00000000000028</v>
      </c>
      <c r="M12" s="97">
        <v>0</v>
      </c>
      <c r="N12" s="97">
        <v>0</v>
      </c>
      <c r="O12" s="97">
        <v>2</v>
      </c>
      <c r="P12" s="108">
        <f>+(35*7+10*6+144*7+37*5)/G12</f>
        <v>6.6283185840707963</v>
      </c>
      <c r="R12" s="97">
        <f t="shared" si="1"/>
        <v>224</v>
      </c>
      <c r="S12" s="97">
        <f t="shared" si="3"/>
        <v>2</v>
      </c>
    </row>
    <row r="13" spans="1:19" x14ac:dyDescent="0.25">
      <c r="A13" s="48" t="s">
        <v>96</v>
      </c>
      <c r="B13" s="48"/>
      <c r="C13" s="51" t="e">
        <f t="shared" si="4"/>
        <v>#DIV/0!</v>
      </c>
      <c r="D13" s="51"/>
      <c r="E13" s="5" t="s">
        <v>15</v>
      </c>
      <c r="F13" s="5" t="s">
        <v>22</v>
      </c>
      <c r="G13" s="97">
        <f>+H13+I13</f>
        <v>0</v>
      </c>
      <c r="H13" s="97">
        <v>0</v>
      </c>
      <c r="I13" s="97">
        <f>+M13+N13+O13</f>
        <v>0</v>
      </c>
      <c r="J13" s="98" t="s">
        <v>92</v>
      </c>
      <c r="K13" s="99"/>
      <c r="L13" s="97">
        <f t="shared" si="2"/>
        <v>0</v>
      </c>
      <c r="M13" s="97">
        <v>0</v>
      </c>
      <c r="N13" s="97">
        <v>0</v>
      </c>
      <c r="O13" s="97">
        <v>0</v>
      </c>
      <c r="P13" s="107">
        <v>0</v>
      </c>
      <c r="R13" s="97">
        <f t="shared" si="1"/>
        <v>0</v>
      </c>
      <c r="S13" s="97">
        <f t="shared" si="3"/>
        <v>0</v>
      </c>
    </row>
    <row r="14" spans="1:19" x14ac:dyDescent="0.25">
      <c r="A14" s="48" t="s">
        <v>96</v>
      </c>
      <c r="B14" s="48"/>
      <c r="C14" s="51" t="e">
        <f t="shared" si="4"/>
        <v>#DIV/0!</v>
      </c>
      <c r="D14" s="51"/>
      <c r="E14" s="5" t="s">
        <v>15</v>
      </c>
      <c r="F14" s="5" t="s">
        <v>23</v>
      </c>
      <c r="G14" s="97">
        <f t="shared" si="5"/>
        <v>0</v>
      </c>
      <c r="H14" s="97">
        <v>0</v>
      </c>
      <c r="I14" s="97">
        <f t="shared" si="6"/>
        <v>0</v>
      </c>
      <c r="J14" s="98" t="s">
        <v>92</v>
      </c>
      <c r="K14" s="99"/>
      <c r="L14" s="97">
        <f t="shared" si="2"/>
        <v>0</v>
      </c>
      <c r="M14" s="97">
        <v>0</v>
      </c>
      <c r="N14" s="97">
        <v>0</v>
      </c>
      <c r="O14" s="97">
        <v>0</v>
      </c>
      <c r="P14" s="107">
        <v>0</v>
      </c>
      <c r="R14" s="97">
        <f t="shared" si="1"/>
        <v>0</v>
      </c>
      <c r="S14" s="97">
        <f t="shared" si="3"/>
        <v>0</v>
      </c>
    </row>
    <row r="15" spans="1:19" x14ac:dyDescent="0.25">
      <c r="A15" s="48" t="s">
        <v>96</v>
      </c>
      <c r="B15" s="48"/>
      <c r="C15" s="51">
        <f t="shared" si="4"/>
        <v>0.97272727272727277</v>
      </c>
      <c r="D15" s="51"/>
      <c r="E15" s="5" t="s">
        <v>15</v>
      </c>
      <c r="F15" s="5" t="s">
        <v>24</v>
      </c>
      <c r="G15" s="97">
        <f>+H15+I15</f>
        <v>110</v>
      </c>
      <c r="H15" s="97">
        <f>+(4+3)+(74+26)</f>
        <v>107</v>
      </c>
      <c r="I15" s="97">
        <f>+M15+N15+O15</f>
        <v>3</v>
      </c>
      <c r="J15" s="98" t="s">
        <v>85</v>
      </c>
      <c r="K15" s="99">
        <v>0.95</v>
      </c>
      <c r="L15" s="97">
        <f t="shared" si="2"/>
        <v>165.00000000000017</v>
      </c>
      <c r="M15" s="97">
        <v>0</v>
      </c>
      <c r="N15" s="97">
        <v>0</v>
      </c>
      <c r="O15" s="97">
        <f>2+1</f>
        <v>3</v>
      </c>
      <c r="P15" s="108">
        <f>+(76*6+27*6+3*7+4*7)/G15</f>
        <v>6.0636363636363635</v>
      </c>
      <c r="R15" s="97">
        <f t="shared" si="1"/>
        <v>107</v>
      </c>
      <c r="S15" s="97">
        <f t="shared" si="3"/>
        <v>3</v>
      </c>
    </row>
    <row r="16" spans="1:19" x14ac:dyDescent="0.25">
      <c r="A16" s="48" t="s">
        <v>81</v>
      </c>
      <c r="B16" s="51">
        <v>0.9</v>
      </c>
      <c r="C16" s="51">
        <f t="shared" ref="C16:C48" si="7">1-I16/G16</f>
        <v>0.96170212765957452</v>
      </c>
      <c r="D16" s="70" t="s">
        <v>100</v>
      </c>
      <c r="E16" s="5" t="s">
        <v>15</v>
      </c>
      <c r="F16" s="5" t="s">
        <v>25</v>
      </c>
      <c r="G16" s="97">
        <f>+H16+I16</f>
        <v>235</v>
      </c>
      <c r="H16" s="97">
        <f>90+7+36+74+1+18</f>
        <v>226</v>
      </c>
      <c r="I16" s="97">
        <f>+M16+N16+O16</f>
        <v>9</v>
      </c>
      <c r="J16" s="98" t="s">
        <v>84</v>
      </c>
      <c r="K16" s="99">
        <v>0.9</v>
      </c>
      <c r="L16" s="97"/>
      <c r="M16" s="97">
        <v>0</v>
      </c>
      <c r="N16" s="97">
        <v>0</v>
      </c>
      <c r="O16" s="97">
        <f>6+3</f>
        <v>9</v>
      </c>
      <c r="P16" s="108">
        <f>+(96*14+7*10+39*18+74*15+1*7+18*12)/G16</f>
        <v>14.676595744680851</v>
      </c>
      <c r="R16" s="97">
        <f t="shared" si="1"/>
        <v>226</v>
      </c>
      <c r="S16" s="97">
        <f t="shared" si="3"/>
        <v>9</v>
      </c>
    </row>
    <row r="17" spans="1:19" x14ac:dyDescent="0.25">
      <c r="A17" s="48" t="s">
        <v>81</v>
      </c>
      <c r="B17" s="51">
        <v>0.9</v>
      </c>
      <c r="C17" s="51">
        <f t="shared" si="7"/>
        <v>0.9263157894736842</v>
      </c>
      <c r="D17" s="70" t="s">
        <v>100</v>
      </c>
      <c r="E17" s="5" t="s">
        <v>15</v>
      </c>
      <c r="F17" s="5" t="s">
        <v>26</v>
      </c>
      <c r="G17" s="97">
        <f t="shared" si="5"/>
        <v>95</v>
      </c>
      <c r="H17" s="97">
        <f>48+2+7+27+4</f>
        <v>88</v>
      </c>
      <c r="I17" s="97">
        <f t="shared" si="6"/>
        <v>7</v>
      </c>
      <c r="J17" s="98" t="s">
        <v>86</v>
      </c>
      <c r="K17" s="99">
        <v>0.9</v>
      </c>
      <c r="L17" s="97"/>
      <c r="M17" s="97">
        <v>0</v>
      </c>
      <c r="N17" s="97">
        <v>0</v>
      </c>
      <c r="O17" s="97">
        <f>5+2</f>
        <v>7</v>
      </c>
      <c r="P17" s="108">
        <f>+((53*26+2*24+7*15)+(27*12+4*13))/((53+2+7)+(27+4))</f>
        <v>20.50537634408602</v>
      </c>
      <c r="R17" s="97">
        <f t="shared" si="1"/>
        <v>88</v>
      </c>
      <c r="S17" s="97">
        <f t="shared" si="3"/>
        <v>7</v>
      </c>
    </row>
    <row r="18" spans="1:19" x14ac:dyDescent="0.25">
      <c r="A18" s="48" t="s">
        <v>81</v>
      </c>
      <c r="B18" s="51">
        <v>0.9</v>
      </c>
      <c r="C18" s="51">
        <f t="shared" si="7"/>
        <v>1</v>
      </c>
      <c r="D18" s="70" t="s">
        <v>100</v>
      </c>
      <c r="E18" s="5" t="s">
        <v>15</v>
      </c>
      <c r="F18" s="5" t="s">
        <v>27</v>
      </c>
      <c r="G18" s="97">
        <f t="shared" si="5"/>
        <v>88</v>
      </c>
      <c r="H18" s="97">
        <f>57+12+15+4</f>
        <v>88</v>
      </c>
      <c r="I18" s="97">
        <f t="shared" si="6"/>
        <v>0</v>
      </c>
      <c r="J18" s="98" t="s">
        <v>85</v>
      </c>
      <c r="K18" s="99">
        <v>0.9</v>
      </c>
      <c r="L18" s="97"/>
      <c r="M18" s="97">
        <v>0</v>
      </c>
      <c r="N18" s="97">
        <v>0</v>
      </c>
      <c r="O18" s="97">
        <v>0</v>
      </c>
      <c r="P18" s="108">
        <f>+(57*12+12*16+15*24+4*18)/G18</f>
        <v>14.863636363636363</v>
      </c>
      <c r="R18" s="97">
        <f t="shared" si="1"/>
        <v>88</v>
      </c>
      <c r="S18" s="97">
        <f t="shared" si="3"/>
        <v>0</v>
      </c>
    </row>
    <row r="19" spans="1:19" x14ac:dyDescent="0.25">
      <c r="A19" s="48" t="s">
        <v>96</v>
      </c>
      <c r="B19" s="48"/>
      <c r="C19" s="51">
        <f t="shared" si="7"/>
        <v>0.98776758409785936</v>
      </c>
      <c r="D19" s="51"/>
      <c r="E19" s="5" t="s">
        <v>15</v>
      </c>
      <c r="F19" s="5" t="s">
        <v>28</v>
      </c>
      <c r="G19" s="97">
        <f t="shared" si="5"/>
        <v>654</v>
      </c>
      <c r="H19" s="97">
        <f>+(436+10+105)+(76+1+18)</f>
        <v>646</v>
      </c>
      <c r="I19" s="97">
        <f t="shared" si="6"/>
        <v>8</v>
      </c>
      <c r="J19" s="98" t="s">
        <v>87</v>
      </c>
      <c r="K19" s="99">
        <v>0.95</v>
      </c>
      <c r="L19" s="97">
        <f t="shared" ref="L19:L24" si="8">(G19*(1-K19))*30</f>
        <v>981.00000000000091</v>
      </c>
      <c r="M19" s="97">
        <v>0</v>
      </c>
      <c r="N19" s="97">
        <v>0</v>
      </c>
      <c r="O19" s="97">
        <f>+(7+1)+(0)</f>
        <v>8</v>
      </c>
      <c r="P19" s="108">
        <f>(2*443+1*10+2*106+76*0+1*0+18*0)/G19</f>
        <v>1.6941896024464831</v>
      </c>
      <c r="R19" s="97">
        <f t="shared" si="1"/>
        <v>646</v>
      </c>
      <c r="S19" s="97">
        <f t="shared" si="3"/>
        <v>8</v>
      </c>
    </row>
    <row r="20" spans="1:19" x14ac:dyDescent="0.25">
      <c r="A20" s="48" t="s">
        <v>96</v>
      </c>
      <c r="B20" s="48"/>
      <c r="C20" s="59">
        <f t="shared" si="7"/>
        <v>0.99566630552546043</v>
      </c>
      <c r="D20" s="59"/>
      <c r="E20" s="5" t="s">
        <v>15</v>
      </c>
      <c r="F20" s="5" t="s">
        <v>29</v>
      </c>
      <c r="G20" s="97">
        <f>+H20+I20</f>
        <v>923</v>
      </c>
      <c r="H20" s="97">
        <f>+(463+2+70)+(321+2+61)</f>
        <v>919</v>
      </c>
      <c r="I20" s="97">
        <f>+M20+N20+O20</f>
        <v>4</v>
      </c>
      <c r="J20" s="98" t="s">
        <v>87</v>
      </c>
      <c r="K20" s="99">
        <v>0.95</v>
      </c>
      <c r="L20" s="97">
        <f t="shared" si="8"/>
        <v>1384.5000000000011</v>
      </c>
      <c r="M20" s="97">
        <v>0</v>
      </c>
      <c r="N20" s="97">
        <v>0</v>
      </c>
      <c r="O20" s="97">
        <f>+(1+0+0)+(2+0+1)</f>
        <v>4</v>
      </c>
      <c r="P20" s="108">
        <f>+((464*3+2*2+70*3)+(323*2+2*3+62*2))/G20</f>
        <v>2.5807150595882988</v>
      </c>
      <c r="R20" s="97">
        <f t="shared" si="1"/>
        <v>919</v>
      </c>
      <c r="S20" s="97">
        <f t="shared" si="3"/>
        <v>4</v>
      </c>
    </row>
    <row r="21" spans="1:19" x14ac:dyDescent="0.25">
      <c r="A21" s="48" t="s">
        <v>96</v>
      </c>
      <c r="B21" s="48"/>
      <c r="C21" s="51" t="e">
        <f t="shared" si="7"/>
        <v>#DIV/0!</v>
      </c>
      <c r="D21" s="51"/>
      <c r="E21" s="5" t="s">
        <v>15</v>
      </c>
      <c r="F21" s="5" t="s">
        <v>30</v>
      </c>
      <c r="G21" s="97">
        <f>+H21+I21</f>
        <v>0</v>
      </c>
      <c r="H21" s="97">
        <v>0</v>
      </c>
      <c r="I21" s="97">
        <f>+M21+N21+O21</f>
        <v>0</v>
      </c>
      <c r="J21" s="98" t="s">
        <v>87</v>
      </c>
      <c r="K21" s="99"/>
      <c r="L21" s="97">
        <f t="shared" si="8"/>
        <v>0</v>
      </c>
      <c r="M21" s="97">
        <v>0</v>
      </c>
      <c r="N21" s="97">
        <v>0</v>
      </c>
      <c r="O21" s="97">
        <v>0</v>
      </c>
      <c r="P21" s="107">
        <v>0</v>
      </c>
      <c r="R21" s="97">
        <f t="shared" si="1"/>
        <v>0</v>
      </c>
      <c r="S21" s="97">
        <f t="shared" si="3"/>
        <v>0</v>
      </c>
    </row>
    <row r="22" spans="1:19" x14ac:dyDescent="0.25">
      <c r="A22" s="48" t="s">
        <v>96</v>
      </c>
      <c r="B22" s="48"/>
      <c r="C22" s="51">
        <f t="shared" si="7"/>
        <v>0.94736842105263164</v>
      </c>
      <c r="D22" s="51"/>
      <c r="E22" s="5" t="s">
        <v>15</v>
      </c>
      <c r="F22" s="5" t="s">
        <v>31</v>
      </c>
      <c r="G22" s="97">
        <f>+H22+I22</f>
        <v>38</v>
      </c>
      <c r="H22" s="97">
        <f>+(28+5)+3</f>
        <v>36</v>
      </c>
      <c r="I22" s="97">
        <f>+M22+N22+O22</f>
        <v>2</v>
      </c>
      <c r="J22" s="98" t="s">
        <v>87</v>
      </c>
      <c r="K22" s="99">
        <v>0.95</v>
      </c>
      <c r="L22" s="97">
        <f t="shared" si="8"/>
        <v>57.00000000000005</v>
      </c>
      <c r="M22" s="97">
        <v>0</v>
      </c>
      <c r="N22" s="97">
        <v>0</v>
      </c>
      <c r="O22" s="97">
        <f>1+1</f>
        <v>2</v>
      </c>
      <c r="P22" s="108">
        <f>+(29*2+5*0+4*2)/G22</f>
        <v>1.736842105263158</v>
      </c>
      <c r="R22" s="97">
        <f t="shared" si="1"/>
        <v>36</v>
      </c>
      <c r="S22" s="97">
        <f t="shared" si="3"/>
        <v>2</v>
      </c>
    </row>
    <row r="23" spans="1:19" x14ac:dyDescent="0.25">
      <c r="A23" s="48" t="s">
        <v>96</v>
      </c>
      <c r="B23" s="48"/>
      <c r="C23" s="51">
        <f t="shared" si="7"/>
        <v>0.98733108108108103</v>
      </c>
      <c r="D23" s="51"/>
      <c r="E23" s="5" t="s">
        <v>15</v>
      </c>
      <c r="F23" s="5" t="s">
        <v>32</v>
      </c>
      <c r="G23" s="97">
        <f t="shared" si="5"/>
        <v>1184</v>
      </c>
      <c r="H23" s="97">
        <f>+(678+1+112)+(315+47+16)</f>
        <v>1169</v>
      </c>
      <c r="I23" s="97">
        <f t="shared" si="6"/>
        <v>15</v>
      </c>
      <c r="J23" s="98" t="s">
        <v>87</v>
      </c>
      <c r="K23" s="99">
        <v>0.95</v>
      </c>
      <c r="L23" s="97">
        <f t="shared" si="8"/>
        <v>1776.0000000000016</v>
      </c>
      <c r="M23" s="97">
        <v>0</v>
      </c>
      <c r="N23" s="97">
        <v>0</v>
      </c>
      <c r="O23" s="97">
        <f>+(3+0+0)+(11+1+0)</f>
        <v>15</v>
      </c>
      <c r="P23" s="108">
        <f>+(((681+1+112)*3+(326+48+16))*3)/G23</f>
        <v>7.0236486486486482</v>
      </c>
      <c r="R23" s="97">
        <f t="shared" si="1"/>
        <v>1169</v>
      </c>
      <c r="S23" s="97">
        <f t="shared" si="3"/>
        <v>15</v>
      </c>
    </row>
    <row r="24" spans="1:19" x14ac:dyDescent="0.25">
      <c r="A24" s="48" t="s">
        <v>96</v>
      </c>
      <c r="B24" s="48"/>
      <c r="C24" s="51">
        <f t="shared" si="7"/>
        <v>1</v>
      </c>
      <c r="D24" s="51"/>
      <c r="E24" s="5" t="s">
        <v>15</v>
      </c>
      <c r="F24" s="5" t="s">
        <v>33</v>
      </c>
      <c r="G24" s="97">
        <f t="shared" si="5"/>
        <v>4136</v>
      </c>
      <c r="H24" s="97">
        <f>+(2254+4+181)+(1461+55+181)</f>
        <v>4136</v>
      </c>
      <c r="I24" s="97">
        <f t="shared" si="6"/>
        <v>0</v>
      </c>
      <c r="J24" s="98" t="s">
        <v>87</v>
      </c>
      <c r="K24" s="99">
        <v>1</v>
      </c>
      <c r="L24" s="97">
        <f t="shared" si="8"/>
        <v>0</v>
      </c>
      <c r="M24" s="97">
        <v>0</v>
      </c>
      <c r="N24" s="97">
        <v>0</v>
      </c>
      <c r="O24" s="97">
        <v>0</v>
      </c>
      <c r="P24" s="109">
        <v>0</v>
      </c>
      <c r="R24" s="97">
        <f t="shared" si="1"/>
        <v>4136</v>
      </c>
      <c r="S24" s="97">
        <f t="shared" si="3"/>
        <v>0</v>
      </c>
    </row>
    <row r="25" spans="1:19" x14ac:dyDescent="0.25">
      <c r="A25" s="48" t="s">
        <v>81</v>
      </c>
      <c r="B25" s="51">
        <v>0.9</v>
      </c>
      <c r="C25" s="51">
        <f t="shared" si="7"/>
        <v>0.96711509715994026</v>
      </c>
      <c r="D25" s="70" t="s">
        <v>100</v>
      </c>
      <c r="E25" s="5" t="s">
        <v>34</v>
      </c>
      <c r="F25" s="5" t="s">
        <v>35</v>
      </c>
      <c r="G25" s="97">
        <f t="shared" si="5"/>
        <v>669</v>
      </c>
      <c r="H25" s="97">
        <f>+(256+9+89)+(227+1+65)</f>
        <v>647</v>
      </c>
      <c r="I25" s="97">
        <f>+M25+N25+O25</f>
        <v>22</v>
      </c>
      <c r="J25" s="98" t="s">
        <v>87</v>
      </c>
      <c r="K25" s="99">
        <v>0.9</v>
      </c>
      <c r="L25" s="97"/>
      <c r="M25" s="97">
        <v>0</v>
      </c>
      <c r="N25" s="97">
        <v>0</v>
      </c>
      <c r="O25" s="97">
        <f>+(7+4)+(9+2)</f>
        <v>22</v>
      </c>
      <c r="P25" s="108">
        <f>+(4*236+4*1+4*67+4*263+3*9+5*93)/G25</f>
        <v>4.1255605381165923</v>
      </c>
      <c r="R25" s="97">
        <f t="shared" si="1"/>
        <v>647</v>
      </c>
      <c r="S25" s="97">
        <f t="shared" si="3"/>
        <v>22</v>
      </c>
    </row>
    <row r="26" spans="1:19" x14ac:dyDescent="0.25">
      <c r="A26" s="48" t="s">
        <v>81</v>
      </c>
      <c r="B26" s="48" t="s">
        <v>82</v>
      </c>
      <c r="C26" s="51" t="e">
        <f t="shared" si="7"/>
        <v>#DIV/0!</v>
      </c>
      <c r="D26" s="70" t="s">
        <v>100</v>
      </c>
      <c r="E26" s="5" t="s">
        <v>34</v>
      </c>
      <c r="F26" s="5" t="s">
        <v>36</v>
      </c>
      <c r="G26" s="97">
        <f t="shared" si="5"/>
        <v>0</v>
      </c>
      <c r="H26" s="97">
        <v>0</v>
      </c>
      <c r="I26" s="97">
        <f>+M26+N26+O26</f>
        <v>0</v>
      </c>
      <c r="J26" s="98" t="s">
        <v>85</v>
      </c>
      <c r="K26" s="99">
        <v>1</v>
      </c>
      <c r="L26" s="97"/>
      <c r="M26" s="97">
        <v>0</v>
      </c>
      <c r="N26" s="97">
        <v>0</v>
      </c>
      <c r="O26" s="97">
        <v>0</v>
      </c>
      <c r="P26" s="108">
        <v>0</v>
      </c>
      <c r="R26" s="97">
        <f t="shared" si="1"/>
        <v>0</v>
      </c>
      <c r="S26" s="97">
        <f t="shared" si="3"/>
        <v>0</v>
      </c>
    </row>
    <row r="27" spans="1:19" x14ac:dyDescent="0.25">
      <c r="A27" s="48" t="s">
        <v>96</v>
      </c>
      <c r="B27" s="49"/>
      <c r="C27" s="51">
        <f t="shared" si="7"/>
        <v>0.99850523168908822</v>
      </c>
      <c r="D27" s="69"/>
      <c r="E27" s="9" t="s">
        <v>34</v>
      </c>
      <c r="F27" s="9" t="s">
        <v>37</v>
      </c>
      <c r="G27" s="97">
        <f t="shared" si="5"/>
        <v>669</v>
      </c>
      <c r="H27" s="97">
        <f>+(263+9+93)+(236+1+66)</f>
        <v>668</v>
      </c>
      <c r="I27" s="97">
        <f t="shared" si="6"/>
        <v>1</v>
      </c>
      <c r="J27" s="98" t="s">
        <v>85</v>
      </c>
      <c r="K27" s="99">
        <v>0.99</v>
      </c>
      <c r="L27" s="97">
        <f t="shared" ref="L27:L33" si="9">(G27*(1-K27))*30</f>
        <v>200.70000000000016</v>
      </c>
      <c r="M27" s="97">
        <v>0</v>
      </c>
      <c r="N27" s="97">
        <v>0</v>
      </c>
      <c r="O27" s="97">
        <v>1</v>
      </c>
      <c r="P27" s="110">
        <f>+((1.25*263)+(1.28*9)+(1.27*93)+(1.25*236)+(0*1)+(1*67))/G27</f>
        <v>1.2262780269058295</v>
      </c>
      <c r="R27" s="97">
        <f t="shared" si="1"/>
        <v>668</v>
      </c>
      <c r="S27" s="97">
        <f t="shared" si="3"/>
        <v>1</v>
      </c>
    </row>
    <row r="28" spans="1:19" x14ac:dyDescent="0.25">
      <c r="A28" s="48" t="s">
        <v>96</v>
      </c>
      <c r="B28" s="48"/>
      <c r="C28" s="51">
        <f t="shared" si="7"/>
        <v>0.9285714285714286</v>
      </c>
      <c r="D28" s="51"/>
      <c r="E28" s="5" t="s">
        <v>34</v>
      </c>
      <c r="F28" s="5" t="s">
        <v>38</v>
      </c>
      <c r="G28" s="97">
        <f t="shared" si="5"/>
        <v>14</v>
      </c>
      <c r="H28" s="97">
        <f>8+2+1+2</f>
        <v>13</v>
      </c>
      <c r="I28" s="97">
        <f>+M28+N28+O28</f>
        <v>1</v>
      </c>
      <c r="J28" s="98" t="s">
        <v>87</v>
      </c>
      <c r="K28" s="99">
        <v>0.95</v>
      </c>
      <c r="L28" s="97">
        <f t="shared" si="9"/>
        <v>21.000000000000018</v>
      </c>
      <c r="M28" s="97">
        <v>0</v>
      </c>
      <c r="N28" s="97">
        <v>0</v>
      </c>
      <c r="O28" s="97">
        <v>1</v>
      </c>
      <c r="P28" s="108">
        <f>+((8*4+2*3+1*29)+(3*9))/G28</f>
        <v>6.7142857142857144</v>
      </c>
      <c r="R28" s="97">
        <f t="shared" si="1"/>
        <v>13</v>
      </c>
      <c r="S28" s="97">
        <f t="shared" si="3"/>
        <v>1</v>
      </c>
    </row>
    <row r="29" spans="1:19" x14ac:dyDescent="0.25">
      <c r="A29" s="48" t="s">
        <v>96</v>
      </c>
      <c r="B29" s="48"/>
      <c r="C29" s="51">
        <f t="shared" si="7"/>
        <v>0.81818181818181812</v>
      </c>
      <c r="D29" s="51"/>
      <c r="E29" s="5" t="s">
        <v>34</v>
      </c>
      <c r="F29" s="5" t="s">
        <v>39</v>
      </c>
      <c r="G29" s="97">
        <f t="shared" si="5"/>
        <v>11</v>
      </c>
      <c r="H29" s="97">
        <f>2+7</f>
        <v>9</v>
      </c>
      <c r="I29" s="97">
        <f>+M29+N29+O29</f>
        <v>2</v>
      </c>
      <c r="J29" s="98" t="s">
        <v>87</v>
      </c>
      <c r="K29" s="99">
        <v>0.95</v>
      </c>
      <c r="L29" s="97">
        <f t="shared" si="9"/>
        <v>16.500000000000014</v>
      </c>
      <c r="M29" s="97">
        <v>0</v>
      </c>
      <c r="N29" s="97">
        <v>0</v>
      </c>
      <c r="O29" s="97">
        <v>2</v>
      </c>
      <c r="P29" s="108">
        <f>(4*22+7*0)/G29</f>
        <v>8</v>
      </c>
      <c r="R29" s="97">
        <f t="shared" si="1"/>
        <v>9</v>
      </c>
      <c r="S29" s="97">
        <f t="shared" si="3"/>
        <v>2</v>
      </c>
    </row>
    <row r="30" spans="1:19" x14ac:dyDescent="0.25">
      <c r="A30" s="48" t="s">
        <v>96</v>
      </c>
      <c r="B30" s="48"/>
      <c r="C30" s="51">
        <f t="shared" si="7"/>
        <v>1</v>
      </c>
      <c r="D30" s="51"/>
      <c r="E30" s="5" t="s">
        <v>34</v>
      </c>
      <c r="F30" s="5" t="s">
        <v>40</v>
      </c>
      <c r="G30" s="97">
        <f t="shared" si="5"/>
        <v>1</v>
      </c>
      <c r="H30" s="97">
        <v>1</v>
      </c>
      <c r="I30" s="97">
        <f>+M30+N30+O30</f>
        <v>0</v>
      </c>
      <c r="J30" s="98" t="s">
        <v>87</v>
      </c>
      <c r="K30" s="99">
        <v>0.95</v>
      </c>
      <c r="L30" s="97">
        <f t="shared" si="9"/>
        <v>1.5000000000000013</v>
      </c>
      <c r="M30" s="97">
        <v>0</v>
      </c>
      <c r="N30" s="97">
        <v>0</v>
      </c>
      <c r="O30" s="97">
        <v>0</v>
      </c>
      <c r="P30" s="108">
        <v>20</v>
      </c>
      <c r="R30" s="97">
        <f t="shared" si="1"/>
        <v>1</v>
      </c>
      <c r="S30" s="97">
        <f t="shared" si="3"/>
        <v>0</v>
      </c>
    </row>
    <row r="31" spans="1:19" x14ac:dyDescent="0.25">
      <c r="A31" s="48" t="s">
        <v>96</v>
      </c>
      <c r="B31" s="48"/>
      <c r="C31" s="51">
        <f t="shared" si="7"/>
        <v>1</v>
      </c>
      <c r="D31" s="51"/>
      <c r="E31" s="5" t="s">
        <v>34</v>
      </c>
      <c r="F31" s="5" t="s">
        <v>41</v>
      </c>
      <c r="G31" s="97">
        <f t="shared" si="5"/>
        <v>3</v>
      </c>
      <c r="H31" s="97">
        <v>3</v>
      </c>
      <c r="I31" s="97">
        <f>+M31+N31+O31</f>
        <v>0</v>
      </c>
      <c r="J31" s="98" t="s">
        <v>87</v>
      </c>
      <c r="K31" s="99">
        <v>0.95</v>
      </c>
      <c r="L31" s="97">
        <f t="shared" si="9"/>
        <v>4.5000000000000036</v>
      </c>
      <c r="M31" s="97">
        <v>0</v>
      </c>
      <c r="N31" s="97">
        <v>0</v>
      </c>
      <c r="O31" s="97">
        <v>0</v>
      </c>
      <c r="P31" s="109">
        <v>0</v>
      </c>
      <c r="R31" s="97">
        <f t="shared" si="1"/>
        <v>3</v>
      </c>
      <c r="S31" s="97">
        <f t="shared" si="3"/>
        <v>0</v>
      </c>
    </row>
    <row r="32" spans="1:19" x14ac:dyDescent="0.25">
      <c r="A32" s="48" t="s">
        <v>96</v>
      </c>
      <c r="B32" s="48"/>
      <c r="C32" s="51" t="e">
        <f t="shared" si="7"/>
        <v>#DIV/0!</v>
      </c>
      <c r="D32" s="51"/>
      <c r="E32" s="5" t="s">
        <v>34</v>
      </c>
      <c r="F32" s="5" t="s">
        <v>42</v>
      </c>
      <c r="G32" s="97">
        <f t="shared" si="5"/>
        <v>0</v>
      </c>
      <c r="H32" s="97">
        <v>0</v>
      </c>
      <c r="I32" s="97">
        <f>+M32+N32+O32</f>
        <v>0</v>
      </c>
      <c r="J32" s="98" t="s">
        <v>87</v>
      </c>
      <c r="K32" s="99">
        <v>0.95</v>
      </c>
      <c r="L32" s="97">
        <f t="shared" si="9"/>
        <v>0</v>
      </c>
      <c r="M32" s="97">
        <v>0</v>
      </c>
      <c r="N32" s="97">
        <v>0</v>
      </c>
      <c r="O32" s="97">
        <v>0</v>
      </c>
      <c r="P32" s="107">
        <v>0</v>
      </c>
      <c r="R32" s="97">
        <f t="shared" si="1"/>
        <v>0</v>
      </c>
      <c r="S32" s="97">
        <f t="shared" si="3"/>
        <v>0</v>
      </c>
    </row>
    <row r="33" spans="1:26" x14ac:dyDescent="0.25">
      <c r="A33" s="48" t="s">
        <v>96</v>
      </c>
      <c r="B33" s="48"/>
      <c r="C33" s="51" t="e">
        <f t="shared" si="7"/>
        <v>#DIV/0!</v>
      </c>
      <c r="D33" s="51"/>
      <c r="E33" s="5" t="s">
        <v>34</v>
      </c>
      <c r="F33" s="5" t="s">
        <v>43</v>
      </c>
      <c r="G33" s="97">
        <f t="shared" si="5"/>
        <v>0</v>
      </c>
      <c r="H33" s="97">
        <v>0</v>
      </c>
      <c r="I33" s="97">
        <f t="shared" si="6"/>
        <v>0</v>
      </c>
      <c r="J33" s="98" t="s">
        <v>87</v>
      </c>
      <c r="K33" s="99">
        <v>0.95</v>
      </c>
      <c r="L33" s="97">
        <f t="shared" si="9"/>
        <v>0</v>
      </c>
      <c r="M33" s="97">
        <v>0</v>
      </c>
      <c r="N33" s="97">
        <v>0</v>
      </c>
      <c r="O33" s="97">
        <v>0</v>
      </c>
      <c r="P33" s="107">
        <v>0</v>
      </c>
      <c r="R33" s="97">
        <f t="shared" si="1"/>
        <v>0</v>
      </c>
      <c r="S33" s="97">
        <f t="shared" si="3"/>
        <v>0</v>
      </c>
    </row>
    <row r="34" spans="1:26" x14ac:dyDescent="0.25">
      <c r="A34" s="48" t="s">
        <v>81</v>
      </c>
      <c r="B34" s="51">
        <v>0.95</v>
      </c>
      <c r="C34" s="51">
        <f t="shared" si="7"/>
        <v>0.9634831460674157</v>
      </c>
      <c r="D34" s="70" t="s">
        <v>100</v>
      </c>
      <c r="E34" s="5" t="s">
        <v>34</v>
      </c>
      <c r="F34" s="5" t="s">
        <v>44</v>
      </c>
      <c r="G34" s="97">
        <f>+H34+I34</f>
        <v>356</v>
      </c>
      <c r="H34" s="97">
        <f>73+7+113+150</f>
        <v>343</v>
      </c>
      <c r="I34" s="97">
        <f>+M34+N34+O34</f>
        <v>13</v>
      </c>
      <c r="J34" s="98" t="s">
        <v>85</v>
      </c>
      <c r="K34" s="99">
        <v>0.95</v>
      </c>
      <c r="L34" s="97"/>
      <c r="M34" s="97">
        <v>0</v>
      </c>
      <c r="N34" s="97">
        <v>0</v>
      </c>
      <c r="O34" s="97">
        <f>1+0+4+8</f>
        <v>13</v>
      </c>
      <c r="P34" s="111">
        <f>+(74*1+8*1.5+117*2+158*1)/G34</f>
        <v>1.3426966292134832</v>
      </c>
      <c r="R34" s="97">
        <f t="shared" si="1"/>
        <v>343</v>
      </c>
      <c r="S34" s="97">
        <f t="shared" si="3"/>
        <v>13</v>
      </c>
    </row>
    <row r="35" spans="1:26" x14ac:dyDescent="0.25">
      <c r="A35" s="48" t="s">
        <v>96</v>
      </c>
      <c r="B35" s="48"/>
      <c r="C35" s="51">
        <f t="shared" si="7"/>
        <v>0.93099421399637805</v>
      </c>
      <c r="D35" s="51"/>
      <c r="E35" s="5" t="s">
        <v>34</v>
      </c>
      <c r="F35" s="5" t="s">
        <v>45</v>
      </c>
      <c r="G35" s="97">
        <f>+H35+I35</f>
        <v>396474</v>
      </c>
      <c r="H35" s="97">
        <f>161250+2281+65829+207+17069+122167+312</f>
        <v>369115</v>
      </c>
      <c r="I35" s="97">
        <f>+M35+N35+O35</f>
        <v>27359</v>
      </c>
      <c r="J35" s="98" t="s">
        <v>87</v>
      </c>
      <c r="K35" s="100">
        <v>0.99950000000000006</v>
      </c>
      <c r="L35" s="97">
        <f>(G35*(1-K35))*30</f>
        <v>5947.1099999993448</v>
      </c>
      <c r="M35" s="97">
        <v>0</v>
      </c>
      <c r="N35" s="97">
        <v>0</v>
      </c>
      <c r="O35" s="97">
        <f>9+2+24897+2139+312</f>
        <v>27359</v>
      </c>
      <c r="P35" s="108">
        <f>+(161259*27+2281*30+65831*30+207*25+1962*28+147064*28+19208*36)/G35</f>
        <v>28.417359019759179</v>
      </c>
      <c r="R35" s="97">
        <f>H35*0.001</f>
        <v>369.11500000000001</v>
      </c>
      <c r="S35" s="97">
        <f>O35*0.001</f>
        <v>27.359000000000002</v>
      </c>
    </row>
    <row r="36" spans="1:26" x14ac:dyDescent="0.25">
      <c r="A36" s="48" t="s">
        <v>96</v>
      </c>
      <c r="B36" s="48"/>
      <c r="C36" s="51">
        <f t="shared" si="7"/>
        <v>1</v>
      </c>
      <c r="D36" s="51"/>
      <c r="E36" s="5" t="s">
        <v>34</v>
      </c>
      <c r="F36" s="5" t="s">
        <v>46</v>
      </c>
      <c r="G36" s="97">
        <f t="shared" si="5"/>
        <v>59</v>
      </c>
      <c r="H36" s="97">
        <f>32+1+11+13+2</f>
        <v>59</v>
      </c>
      <c r="I36" s="97">
        <f t="shared" si="6"/>
        <v>0</v>
      </c>
      <c r="J36" s="98" t="s">
        <v>87</v>
      </c>
      <c r="K36" s="99">
        <v>0.95</v>
      </c>
      <c r="L36" s="97">
        <f>(G36*(1-K36))*30</f>
        <v>88.500000000000085</v>
      </c>
      <c r="M36" s="97">
        <v>0</v>
      </c>
      <c r="N36" s="97">
        <v>0</v>
      </c>
      <c r="O36" s="97">
        <v>0</v>
      </c>
      <c r="P36" s="108">
        <f>+(32*24+1*5+11*17+13*8+2*14)/H36</f>
        <v>18.508474576271187</v>
      </c>
      <c r="R36" s="97">
        <f t="shared" ref="R36:R42" si="10">+H36</f>
        <v>59</v>
      </c>
      <c r="S36" s="97">
        <f t="shared" ref="S36:S42" si="11">+O36</f>
        <v>0</v>
      </c>
    </row>
    <row r="37" spans="1:26" x14ac:dyDescent="0.25">
      <c r="A37" s="48" t="s">
        <v>96</v>
      </c>
      <c r="B37" s="48"/>
      <c r="C37" s="51">
        <f t="shared" si="7"/>
        <v>0.9561128526645768</v>
      </c>
      <c r="D37" s="51"/>
      <c r="E37" s="5" t="s">
        <v>34</v>
      </c>
      <c r="F37" s="5" t="s">
        <v>47</v>
      </c>
      <c r="G37" s="97">
        <f t="shared" si="5"/>
        <v>319</v>
      </c>
      <c r="H37" s="97">
        <f>122+112+63+1+7</f>
        <v>305</v>
      </c>
      <c r="I37" s="97">
        <f t="shared" si="6"/>
        <v>14</v>
      </c>
      <c r="J37" s="98" t="s">
        <v>88</v>
      </c>
      <c r="K37" s="99">
        <v>0.95</v>
      </c>
      <c r="L37" s="97">
        <f>(G37*(1-K37))*30</f>
        <v>478.5000000000004</v>
      </c>
      <c r="M37" s="97">
        <v>0</v>
      </c>
      <c r="N37" s="97">
        <v>0</v>
      </c>
      <c r="O37" s="97">
        <f>4+1+9+0+0</f>
        <v>14</v>
      </c>
      <c r="P37" s="108">
        <f>+(126*13+113*12+72*7+1*4+7*11)/G37</f>
        <v>11.219435736677116</v>
      </c>
      <c r="R37" s="97">
        <f t="shared" si="10"/>
        <v>305</v>
      </c>
      <c r="S37" s="97">
        <f t="shared" si="11"/>
        <v>14</v>
      </c>
    </row>
    <row r="38" spans="1:26" x14ac:dyDescent="0.25">
      <c r="A38" s="48" t="s">
        <v>96</v>
      </c>
      <c r="B38" s="48"/>
      <c r="C38" s="51">
        <f t="shared" si="7"/>
        <v>1</v>
      </c>
      <c r="D38" s="51"/>
      <c r="E38" s="5" t="s">
        <v>34</v>
      </c>
      <c r="F38" s="5" t="s">
        <v>48</v>
      </c>
      <c r="G38" s="97">
        <f t="shared" si="5"/>
        <v>334</v>
      </c>
      <c r="H38" s="97">
        <f>83+19+154+1+77</f>
        <v>334</v>
      </c>
      <c r="I38" s="97">
        <f t="shared" si="6"/>
        <v>0</v>
      </c>
      <c r="J38" s="98" t="s">
        <v>87</v>
      </c>
      <c r="K38" s="99">
        <v>0.95</v>
      </c>
      <c r="L38" s="97">
        <f>(G38*(1-K38))*30</f>
        <v>501.0000000000004</v>
      </c>
      <c r="M38" s="97">
        <v>0</v>
      </c>
      <c r="N38" s="97">
        <v>0</v>
      </c>
      <c r="O38" s="97">
        <v>0</v>
      </c>
      <c r="P38" s="108">
        <f>+(154*3+1*1+77*4+83*1+19*1)/G38</f>
        <v>2.6137724550898205</v>
      </c>
      <c r="R38" s="97">
        <f t="shared" si="10"/>
        <v>334</v>
      </c>
      <c r="S38" s="97">
        <f t="shared" si="11"/>
        <v>0</v>
      </c>
    </row>
    <row r="39" spans="1:26" x14ac:dyDescent="0.25">
      <c r="A39" s="48" t="s">
        <v>81</v>
      </c>
      <c r="B39" s="51">
        <v>0.95</v>
      </c>
      <c r="C39" s="52">
        <f t="shared" si="7"/>
        <v>0.91752577319587625</v>
      </c>
      <c r="D39" s="52" t="s">
        <v>99</v>
      </c>
      <c r="E39" s="5" t="s">
        <v>34</v>
      </c>
      <c r="F39" s="5" t="s">
        <v>49</v>
      </c>
      <c r="G39" s="97">
        <f t="shared" si="5"/>
        <v>194</v>
      </c>
      <c r="H39" s="97">
        <f>63+1+42+10+62</f>
        <v>178</v>
      </c>
      <c r="I39" s="97">
        <f t="shared" si="6"/>
        <v>16</v>
      </c>
      <c r="J39" s="98" t="s">
        <v>87</v>
      </c>
      <c r="K39" s="99">
        <v>0.95</v>
      </c>
      <c r="L39" s="97"/>
      <c r="M39" s="97">
        <v>0</v>
      </c>
      <c r="N39" s="97">
        <v>0</v>
      </c>
      <c r="O39" s="97">
        <f>7+0+7+0+2</f>
        <v>16</v>
      </c>
      <c r="P39" s="108">
        <f>+(70*4+1*1+49*3+10*9+64*10)/G39</f>
        <v>5.9690721649484537</v>
      </c>
      <c r="R39" s="97">
        <f t="shared" si="10"/>
        <v>178</v>
      </c>
      <c r="S39" s="97">
        <f t="shared" si="11"/>
        <v>16</v>
      </c>
    </row>
    <row r="40" spans="1:26" x14ac:dyDescent="0.25">
      <c r="A40" s="48" t="s">
        <v>96</v>
      </c>
      <c r="B40" s="48"/>
      <c r="C40" s="51" t="e">
        <f t="shared" si="7"/>
        <v>#DIV/0!</v>
      </c>
      <c r="D40" s="51"/>
      <c r="E40" s="5" t="s">
        <v>34</v>
      </c>
      <c r="F40" s="5" t="s">
        <v>50</v>
      </c>
      <c r="G40" s="97">
        <f t="shared" si="5"/>
        <v>0</v>
      </c>
      <c r="H40" s="97">
        <v>0</v>
      </c>
      <c r="I40" s="97">
        <f t="shared" si="6"/>
        <v>0</v>
      </c>
      <c r="J40" s="98" t="s">
        <v>92</v>
      </c>
      <c r="K40" s="99"/>
      <c r="L40" s="97">
        <f>(G40*(1-K40))*30</f>
        <v>0</v>
      </c>
      <c r="M40" s="97">
        <v>0</v>
      </c>
      <c r="N40" s="97">
        <v>0</v>
      </c>
      <c r="O40" s="97">
        <v>0</v>
      </c>
      <c r="P40" s="107">
        <v>0</v>
      </c>
      <c r="R40" s="97">
        <f t="shared" si="10"/>
        <v>0</v>
      </c>
      <c r="S40" s="97">
        <f t="shared" si="11"/>
        <v>0</v>
      </c>
    </row>
    <row r="41" spans="1:26" x14ac:dyDescent="0.25">
      <c r="A41" s="48" t="s">
        <v>96</v>
      </c>
      <c r="B41" s="48"/>
      <c r="C41" s="51" t="e">
        <f t="shared" si="7"/>
        <v>#DIV/0!</v>
      </c>
      <c r="D41" s="51"/>
      <c r="E41" s="5" t="s">
        <v>34</v>
      </c>
      <c r="F41" s="5" t="s">
        <v>51</v>
      </c>
      <c r="G41" s="97">
        <f t="shared" si="5"/>
        <v>0</v>
      </c>
      <c r="H41" s="97">
        <v>0</v>
      </c>
      <c r="I41" s="97">
        <f t="shared" si="6"/>
        <v>0</v>
      </c>
      <c r="J41" s="98" t="s">
        <v>92</v>
      </c>
      <c r="K41" s="99"/>
      <c r="L41" s="97">
        <f>(G41*(1-K41))*30</f>
        <v>0</v>
      </c>
      <c r="M41" s="97">
        <v>0</v>
      </c>
      <c r="N41" s="97">
        <v>0</v>
      </c>
      <c r="O41" s="97">
        <v>0</v>
      </c>
      <c r="P41" s="107">
        <v>0</v>
      </c>
      <c r="R41" s="97">
        <f t="shared" si="10"/>
        <v>0</v>
      </c>
      <c r="S41" s="97">
        <f t="shared" si="11"/>
        <v>0</v>
      </c>
    </row>
    <row r="42" spans="1:26" x14ac:dyDescent="0.25">
      <c r="A42" s="48" t="s">
        <v>96</v>
      </c>
      <c r="B42" s="48"/>
      <c r="C42" s="51" t="e">
        <f t="shared" si="7"/>
        <v>#DIV/0!</v>
      </c>
      <c r="D42" s="51"/>
      <c r="E42" s="5" t="s">
        <v>34</v>
      </c>
      <c r="F42" s="5" t="s">
        <v>52</v>
      </c>
      <c r="G42" s="97">
        <f t="shared" si="5"/>
        <v>0</v>
      </c>
      <c r="H42" s="97">
        <v>0</v>
      </c>
      <c r="I42" s="97">
        <f t="shared" si="6"/>
        <v>0</v>
      </c>
      <c r="J42" s="98" t="s">
        <v>92</v>
      </c>
      <c r="K42" s="99"/>
      <c r="L42" s="97">
        <f>(G42*(1-K42))*30</f>
        <v>0</v>
      </c>
      <c r="M42" s="97">
        <v>0</v>
      </c>
      <c r="N42" s="97">
        <v>0</v>
      </c>
      <c r="O42" s="97">
        <v>0</v>
      </c>
      <c r="P42" s="107">
        <v>0</v>
      </c>
      <c r="R42" s="97">
        <f t="shared" si="10"/>
        <v>0</v>
      </c>
      <c r="S42" s="97">
        <f t="shared" si="11"/>
        <v>0</v>
      </c>
    </row>
    <row r="43" spans="1:26" x14ac:dyDescent="0.25">
      <c r="A43" s="48" t="s">
        <v>81</v>
      </c>
      <c r="B43" s="48" t="s">
        <v>82</v>
      </c>
      <c r="C43" s="51">
        <f t="shared" si="7"/>
        <v>0.99485986365112</v>
      </c>
      <c r="D43" s="70" t="s">
        <v>100</v>
      </c>
      <c r="E43" s="5" t="s">
        <v>34</v>
      </c>
      <c r="F43" s="5" t="s">
        <v>53</v>
      </c>
      <c r="G43" s="97">
        <f t="shared" si="5"/>
        <v>18482</v>
      </c>
      <c r="H43" s="97">
        <f>11652+6735</f>
        <v>18387</v>
      </c>
      <c r="I43" s="97">
        <f t="shared" si="6"/>
        <v>95</v>
      </c>
      <c r="J43" s="98" t="s">
        <v>87</v>
      </c>
      <c r="K43" s="99">
        <v>0.99</v>
      </c>
      <c r="L43" s="97"/>
      <c r="M43" s="97">
        <v>0</v>
      </c>
      <c r="N43" s="97">
        <v>0</v>
      </c>
      <c r="O43" s="97">
        <f>23+72</f>
        <v>95</v>
      </c>
      <c r="P43" s="108">
        <v>0</v>
      </c>
      <c r="R43" s="97">
        <f>H43*0.1</f>
        <v>1838.7</v>
      </c>
      <c r="S43" s="97">
        <f>O43*0.1</f>
        <v>9.5</v>
      </c>
    </row>
    <row r="44" spans="1:26" x14ac:dyDescent="0.25">
      <c r="A44" s="48" t="s">
        <v>81</v>
      </c>
      <c r="B44" s="48" t="s">
        <v>82</v>
      </c>
      <c r="C44" s="51">
        <f t="shared" si="7"/>
        <v>0.91878584568769617</v>
      </c>
      <c r="D44" s="70" t="s">
        <v>100</v>
      </c>
      <c r="E44" s="5" t="s">
        <v>34</v>
      </c>
      <c r="F44" s="5" t="s">
        <v>54</v>
      </c>
      <c r="G44" s="97">
        <f>IF(P44="",0,H43+O43)</f>
        <v>18482</v>
      </c>
      <c r="H44" s="97">
        <f>10881+6100</f>
        <v>16981</v>
      </c>
      <c r="I44" s="97">
        <f>+G44-H44</f>
        <v>1501</v>
      </c>
      <c r="J44" s="64" t="s">
        <v>87</v>
      </c>
      <c r="K44" s="65">
        <v>0.95</v>
      </c>
      <c r="L44" s="66"/>
      <c r="M44" s="17">
        <v>0</v>
      </c>
      <c r="N44" s="17">
        <v>0</v>
      </c>
      <c r="O44" s="107">
        <v>0</v>
      </c>
      <c r="P44" s="97">
        <f>+(6*(10881+794)+6.25*(6100+707))/G43</f>
        <v>6.0920760740179638</v>
      </c>
      <c r="R44" s="97">
        <f>H44*0.1</f>
        <v>1698.1000000000001</v>
      </c>
      <c r="S44" s="97">
        <f>I44*0.1</f>
        <v>150.1</v>
      </c>
    </row>
    <row r="45" spans="1:26" x14ac:dyDescent="0.25">
      <c r="A45" s="48" t="s">
        <v>81</v>
      </c>
      <c r="B45" s="48" t="s">
        <v>82</v>
      </c>
      <c r="C45" s="51">
        <f t="shared" si="7"/>
        <v>0.89047954314323707</v>
      </c>
      <c r="D45" s="70" t="s">
        <v>100</v>
      </c>
      <c r="E45" s="5" t="s">
        <v>34</v>
      </c>
      <c r="F45" s="5" t="s">
        <v>55</v>
      </c>
      <c r="G45" s="97">
        <f>+(688+470+380+498+769+554)+(1498+1175+1511+1544+1558+1410+2141+2012+2139+2642+2631+1946)</f>
        <v>25566</v>
      </c>
      <c r="H45" s="97">
        <f>+(609+433+353+451+704+493)+(1329+1093+1397+1399+1407+1197+1722+1694+1920+2302+2427+1836)</f>
        <v>22766</v>
      </c>
      <c r="I45" s="97">
        <f>+G45-H45</f>
        <v>2800</v>
      </c>
      <c r="J45" s="64" t="s">
        <v>89</v>
      </c>
      <c r="K45" s="65"/>
      <c r="L45" s="66"/>
      <c r="M45" s="17">
        <v>0</v>
      </c>
      <c r="N45" s="17">
        <v>0</v>
      </c>
      <c r="O45" s="107">
        <v>0</v>
      </c>
      <c r="P45" s="103">
        <f>IF(ISERROR(H45/G45),"",H45/G45)</f>
        <v>0.89047954314323707</v>
      </c>
      <c r="R45" s="97">
        <f>H45*0.01</f>
        <v>227.66</v>
      </c>
      <c r="S45" s="97">
        <f>I45*0.01</f>
        <v>28</v>
      </c>
    </row>
    <row r="46" spans="1:26" x14ac:dyDescent="0.25">
      <c r="A46" s="48" t="s">
        <v>81</v>
      </c>
      <c r="B46" s="51">
        <v>0.9</v>
      </c>
      <c r="C46" s="51">
        <f t="shared" si="7"/>
        <v>0.99989298515329872</v>
      </c>
      <c r="D46" s="70" t="s">
        <v>100</v>
      </c>
      <c r="E46" s="5" t="s">
        <v>34</v>
      </c>
      <c r="F46" s="5" t="s">
        <v>56</v>
      </c>
      <c r="G46" s="97">
        <f>IF(P46="",0,G45)</f>
        <v>25566</v>
      </c>
      <c r="H46" s="97">
        <f>+G46*P46</f>
        <v>25563.264058429235</v>
      </c>
      <c r="I46" s="97">
        <f>+G46-H46</f>
        <v>2.7359415707651351</v>
      </c>
      <c r="J46" s="64" t="s">
        <v>89</v>
      </c>
      <c r="K46" s="65"/>
      <c r="L46" s="66"/>
      <c r="M46" s="17">
        <v>0</v>
      </c>
      <c r="N46" s="17">
        <v>0</v>
      </c>
      <c r="O46" s="107">
        <v>0</v>
      </c>
      <c r="P46" s="103">
        <f>((0.9984*609+1*433+353*1+451*1+704*1+493*1)+(0.9989*1329+1*1093+1*1397+1*1399+1*1407+1*1197+1*1722+1*1694+1*1920+1*2302+1*2427+1*1836))/H45</f>
        <v>0.99989298515329872</v>
      </c>
      <c r="R46" s="97">
        <f t="shared" ref="R46:S47" si="12">H46*0.01</f>
        <v>255.63264058429235</v>
      </c>
      <c r="S46" s="97">
        <f t="shared" si="12"/>
        <v>2.7359415707651352E-2</v>
      </c>
      <c r="Z46" s="10"/>
    </row>
    <row r="47" spans="1:26" x14ac:dyDescent="0.25">
      <c r="A47" s="48" t="s">
        <v>81</v>
      </c>
      <c r="B47" s="48" t="s">
        <v>82</v>
      </c>
      <c r="C47" s="51">
        <f t="shared" si="7"/>
        <v>0.97632976902917934</v>
      </c>
      <c r="D47" s="70" t="s">
        <v>100</v>
      </c>
      <c r="E47" s="5" t="s">
        <v>34</v>
      </c>
      <c r="F47" s="5" t="s">
        <v>57</v>
      </c>
      <c r="G47" s="97">
        <f>IF(P47="",0,G45)</f>
        <v>25566</v>
      </c>
      <c r="H47" s="97">
        <f>(1-(P47/4800))*G47</f>
        <v>24960.846874999999</v>
      </c>
      <c r="I47" s="97">
        <f>+G47-H47</f>
        <v>605.15312500000073</v>
      </c>
      <c r="J47" s="64" t="s">
        <v>89</v>
      </c>
      <c r="K47" s="65"/>
      <c r="L47" s="66"/>
      <c r="M47" s="17">
        <v>0</v>
      </c>
      <c r="N47" s="17">
        <v>0</v>
      </c>
      <c r="O47" s="107">
        <v>0</v>
      </c>
      <c r="P47" s="97">
        <f>+((79*688)+(62*470)+(58*380)+(73*498)+(80*769)+(90*554)+(109*1498)+(81*1175)+(87*1511)+(96*1544)+(104*1558)+(124*1410)+(168*2141)+(151*2012)+(125*2139)+(135*2642)+(120*2631)+(89*1946))/G46</f>
        <v>113.61710865993898</v>
      </c>
      <c r="R47" s="97">
        <f t="shared" si="12"/>
        <v>249.60846874999999</v>
      </c>
      <c r="S47" s="97">
        <f t="shared" si="12"/>
        <v>6.0515312500000071</v>
      </c>
    </row>
    <row r="48" spans="1:26" x14ac:dyDescent="0.25">
      <c r="A48" s="48" t="s">
        <v>81</v>
      </c>
      <c r="B48" s="48">
        <v>90</v>
      </c>
      <c r="C48" s="51">
        <f t="shared" si="7"/>
        <v>0.95375799573560771</v>
      </c>
      <c r="D48" s="70" t="s">
        <v>100</v>
      </c>
      <c r="E48" s="5" t="s">
        <v>34</v>
      </c>
      <c r="F48" s="5" t="s">
        <v>76</v>
      </c>
      <c r="G48" s="101">
        <f t="shared" si="5"/>
        <v>7504</v>
      </c>
      <c r="H48" s="101">
        <f>6493+664</f>
        <v>7157</v>
      </c>
      <c r="I48" s="101">
        <f t="shared" si="6"/>
        <v>347</v>
      </c>
      <c r="J48" s="64" t="s">
        <v>89</v>
      </c>
      <c r="K48" s="65"/>
      <c r="L48" s="66"/>
      <c r="M48" s="7">
        <v>0</v>
      </c>
      <c r="N48" s="7">
        <v>0</v>
      </c>
      <c r="O48" s="112">
        <f>332+15</f>
        <v>347</v>
      </c>
      <c r="P48" s="108">
        <f>+(6825*45+679*42)/G48</f>
        <v>44.728544776119406</v>
      </c>
      <c r="R48" s="97">
        <f>H48*0.1</f>
        <v>715.7</v>
      </c>
      <c r="S48" s="97">
        <f>O48*0.1</f>
        <v>34.700000000000003</v>
      </c>
      <c r="T48" s="3"/>
    </row>
    <row r="49" spans="1:19" x14ac:dyDescent="0.25">
      <c r="J49" s="67"/>
      <c r="K49" s="68">
        <f>AVERAGE(K7:K48)</f>
        <v>0.94756896551724101</v>
      </c>
      <c r="L49" s="67">
        <f>SUM(L7:L48)</f>
        <v>13455.809999999348</v>
      </c>
    </row>
    <row r="50" spans="1:19" s="12" customFormat="1" ht="32.25" customHeight="1" x14ac:dyDescent="0.25">
      <c r="A50" s="50"/>
      <c r="B50" s="50"/>
      <c r="C50" s="50"/>
      <c r="D50" s="50"/>
      <c r="F50" s="72" t="s">
        <v>63</v>
      </c>
      <c r="G50" s="72"/>
      <c r="H50" s="11" t="s">
        <v>58</v>
      </c>
      <c r="I50" s="11" t="s">
        <v>59</v>
      </c>
      <c r="J50" s="55"/>
      <c r="K50" s="57"/>
      <c r="L50" s="62"/>
      <c r="P50" s="18"/>
      <c r="Q50" s="73" t="s">
        <v>60</v>
      </c>
      <c r="R50" s="74"/>
      <c r="S50" s="75"/>
    </row>
    <row r="51" spans="1:19" x14ac:dyDescent="0.25">
      <c r="F51" s="13" t="s">
        <v>15</v>
      </c>
      <c r="G51" s="104">
        <f>IF(ISERROR(R51/(R51+S51)),"N/A",R51/(R51+S51))</f>
        <v>0.99242701844387449</v>
      </c>
      <c r="H51" s="105" t="str">
        <f>+IF(G51="N/A",G51,IF(G51&gt;98%,"A",IF(AND(G51&lt;=98%,G51&gt;90%),"B","C")))</f>
        <v>A</v>
      </c>
      <c r="I51" s="106" t="str">
        <f>+IF(G51="N/A",G51,IF(G51&gt;98%,"mantenimento",IF(AND(G51&lt;=98%,G51&gt;90%),G51+1%,G51+3%)))</f>
        <v>mantenimento</v>
      </c>
      <c r="J51" s="53"/>
      <c r="K51" s="58"/>
      <c r="L51" s="63"/>
      <c r="Q51" s="13" t="s">
        <v>15</v>
      </c>
      <c r="R51" s="97">
        <f>+SUMIF(E7:E48,"MC1",R7:R48)</f>
        <v>8125</v>
      </c>
      <c r="S51" s="97">
        <f>SUMIF(E7:E48,"MC1",S7:S48)</f>
        <v>62</v>
      </c>
    </row>
    <row r="52" spans="1:19" x14ac:dyDescent="0.25">
      <c r="F52" s="13" t="s">
        <v>34</v>
      </c>
      <c r="G52" s="104">
        <f>IF(ISERROR(R52/(R52+S52)),"N/A",R52/(R52+S52))</f>
        <v>0.96058649355078651</v>
      </c>
      <c r="H52" s="105" t="str">
        <f>+IF(G52="N/A",G52,IF(G52&gt;95%,"A",IF(AND(G52&lt;=95%,G52&gt;90%),"B","C")))</f>
        <v>A</v>
      </c>
      <c r="I52" s="106" t="str">
        <f>+IF(G52="N/A",G52,IF(G52&gt;95%,"mantenimento",IF(AND(G52&lt;=95%,G52&gt;90%),G52+1%,G52+3%)))</f>
        <v>mantenimento</v>
      </c>
      <c r="J52" s="53"/>
      <c r="K52" s="58"/>
      <c r="L52" s="63"/>
      <c r="Q52" s="13" t="s">
        <v>34</v>
      </c>
      <c r="R52" s="97">
        <f>SUMIF(E7:E48,"MC2",R7:R48)</f>
        <v>7914.5161093342913</v>
      </c>
      <c r="S52" s="97">
        <f>SUMIF(E7:E48,"MC2",S7:S48)</f>
        <v>324.73789066570765</v>
      </c>
    </row>
  </sheetData>
  <sheetProtection algorithmName="SHA-512" hashValue="0XUQhTmymtimV8/CRgJ+5efAvgPNwYbwgAH3GE7muWGsGMUmZFAT0j2wSnzcKtmKZaByTEHP5FbBS9/q5zx6zg==" saltValue="mOpJvyN1pbA+XuPbUi1a8Q==" spinCount="100000" sheet="1" formatCells="0" formatColumns="0" formatRows="0" insertColumns="0" insertRows="0" insertHyperlinks="0" deleteColumns="0" deleteRows="0" sort="0" autoFilter="0" pivotTables="0"/>
  <mergeCells count="21">
    <mergeCell ref="S5:S6"/>
    <mergeCell ref="F50:G50"/>
    <mergeCell ref="Q50:S50"/>
    <mergeCell ref="J5:J6"/>
    <mergeCell ref="K5:K6"/>
    <mergeCell ref="L5:L6"/>
    <mergeCell ref="I5:I6"/>
    <mergeCell ref="M5:O5"/>
    <mergeCell ref="P5:P6"/>
    <mergeCell ref="R5:R6"/>
    <mergeCell ref="G1:H1"/>
    <mergeCell ref="G2:H2"/>
    <mergeCell ref="G3:H3"/>
    <mergeCell ref="A5:A6"/>
    <mergeCell ref="B5:B6"/>
    <mergeCell ref="E5:E6"/>
    <mergeCell ref="F5:F6"/>
    <mergeCell ref="G5:G6"/>
    <mergeCell ref="H5:H6"/>
    <mergeCell ref="C5:C6"/>
    <mergeCell ref="D5:D6"/>
  </mergeCells>
  <conditionalFormatting sqref="G48 G7:G43 I48:K48 R7:S48 I9:K43 I7:I8 K7:L8 J7:J48 I51:L52 L9:L48 K44">
    <cfRule type="cellIs" dxfId="38" priority="41" operator="lessThan">
      <formula>0</formula>
    </cfRule>
    <cfRule type="cellIs" dxfId="37" priority="43" operator="lessThan">
      <formula>0</formula>
    </cfRule>
  </conditionalFormatting>
  <conditionalFormatting sqref="G27:G32">
    <cfRule type="cellIs" dxfId="36" priority="42" operator="lessThan">
      <formula>-2</formula>
    </cfRule>
  </conditionalFormatting>
  <conditionalFormatting sqref="R51:S52">
    <cfRule type="cellIs" dxfId="35" priority="39" operator="lessThan">
      <formula>0</formula>
    </cfRule>
    <cfRule type="cellIs" dxfId="34" priority="40" operator="lessThan">
      <formula>0</formula>
    </cfRule>
  </conditionalFormatting>
  <conditionalFormatting sqref="G51">
    <cfRule type="cellIs" dxfId="33" priority="37" operator="lessThan">
      <formula>0</formula>
    </cfRule>
    <cfRule type="cellIs" dxfId="32" priority="38" operator="lessThan">
      <formula>0</formula>
    </cfRule>
  </conditionalFormatting>
  <conditionalFormatting sqref="H51">
    <cfRule type="cellIs" dxfId="31" priority="35" operator="lessThan">
      <formula>0</formula>
    </cfRule>
    <cfRule type="cellIs" dxfId="30" priority="36" operator="lessThan">
      <formula>0</formula>
    </cfRule>
  </conditionalFormatting>
  <conditionalFormatting sqref="R7:S48 M48:O48 K7:L8 J7:J48 G7:G44 I9:L48 I7:I8 G46:G48">
    <cfRule type="cellIs" dxfId="29" priority="34" operator="lessThan">
      <formula>0</formula>
    </cfRule>
  </conditionalFormatting>
  <conditionalFormatting sqref="R51:S52">
    <cfRule type="cellIs" dxfId="28" priority="33" operator="lessThan">
      <formula>0</formula>
    </cfRule>
  </conditionalFormatting>
  <conditionalFormatting sqref="P45">
    <cfRule type="cellIs" dxfId="27" priority="32" operator="lessThan">
      <formula>0</formula>
    </cfRule>
  </conditionalFormatting>
  <conditionalFormatting sqref="G52">
    <cfRule type="cellIs" dxfId="26" priority="30" operator="lessThan">
      <formula>0</formula>
    </cfRule>
    <cfRule type="cellIs" dxfId="25" priority="31" operator="lessThan">
      <formula>0</formula>
    </cfRule>
  </conditionalFormatting>
  <conditionalFormatting sqref="H52">
    <cfRule type="cellIs" dxfId="24" priority="26" operator="lessThan">
      <formula>0</formula>
    </cfRule>
    <cfRule type="cellIs" dxfId="23" priority="27" operator="lessThan">
      <formula>0</formula>
    </cfRule>
  </conditionalFormatting>
  <conditionalFormatting sqref="J49 L49">
    <cfRule type="cellIs" dxfId="20" priority="20" operator="lessThan">
      <formula>0</formula>
    </cfRule>
    <cfRule type="cellIs" dxfId="19" priority="21" operator="lessThan">
      <formula>0</formula>
    </cfRule>
  </conditionalFormatting>
  <conditionalFormatting sqref="J49 L49">
    <cfRule type="cellIs" dxfId="18" priority="19" operator="lessThan">
      <formula>0</formula>
    </cfRule>
  </conditionalFormatting>
  <conditionalFormatting sqref="K49">
    <cfRule type="cellIs" dxfId="17" priority="18" operator="lessThan">
      <formula>0</formula>
    </cfRule>
  </conditionalFormatting>
  <conditionalFormatting sqref="H48 H7:H43">
    <cfRule type="cellIs" dxfId="16" priority="15" operator="lessThan">
      <formula>0</formula>
    </cfRule>
    <cfRule type="cellIs" dxfId="15" priority="17" operator="lessThan">
      <formula>0</formula>
    </cfRule>
  </conditionalFormatting>
  <conditionalFormatting sqref="H27:H32">
    <cfRule type="cellIs" dxfId="14" priority="16" operator="lessThan">
      <formula>-2</formula>
    </cfRule>
  </conditionalFormatting>
  <conditionalFormatting sqref="H7:H44 H46:H48">
    <cfRule type="cellIs" dxfId="13" priority="14" operator="lessThan">
      <formula>0</formula>
    </cfRule>
  </conditionalFormatting>
  <conditionalFormatting sqref="M7:O43">
    <cfRule type="cellIs" dxfId="12" priority="11" operator="lessThan">
      <formula>0</formula>
    </cfRule>
    <cfRule type="cellIs" dxfId="11" priority="13" operator="lessThan">
      <formula>0</formula>
    </cfRule>
  </conditionalFormatting>
  <conditionalFormatting sqref="M27:O32">
    <cfRule type="cellIs" dxfId="10" priority="12" operator="lessThan">
      <formula>-2</formula>
    </cfRule>
  </conditionalFormatting>
  <conditionalFormatting sqref="M7:O43">
    <cfRule type="cellIs" dxfId="9" priority="10" operator="lessThan">
      <formula>0</formula>
    </cfRule>
  </conditionalFormatting>
  <conditionalFormatting sqref="P46">
    <cfRule type="cellIs" dxfId="8" priority="9" operator="lessThan">
      <formula>0</formula>
    </cfRule>
  </conditionalFormatting>
  <conditionalFormatting sqref="P47">
    <cfRule type="cellIs" dxfId="7" priority="7" operator="lessThan">
      <formula>0</formula>
    </cfRule>
    <cfRule type="cellIs" dxfId="6" priority="8" operator="lessThan">
      <formula>0</formula>
    </cfRule>
  </conditionalFormatting>
  <conditionalFormatting sqref="P47">
    <cfRule type="cellIs" dxfId="5" priority="6" operator="lessThan">
      <formula>0</formula>
    </cfRule>
  </conditionalFormatting>
  <conditionalFormatting sqref="P44">
    <cfRule type="cellIs" dxfId="4" priority="4" operator="lessThan">
      <formula>0</formula>
    </cfRule>
    <cfRule type="cellIs" dxfId="3" priority="5" operator="lessThan">
      <formula>0</formula>
    </cfRule>
  </conditionalFormatting>
  <conditionalFormatting sqref="P44">
    <cfRule type="cellIs" dxfId="2" priority="3" operator="lessThan">
      <formula>0</formula>
    </cfRule>
  </conditionalFormatting>
  <conditionalFormatting sqref="G45">
    <cfRule type="cellIs" dxfId="1" priority="2" operator="lessThan">
      <formula>0</formula>
    </cfRule>
  </conditionalFormatting>
  <conditionalFormatting sqref="H4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Totale LTA</vt:lpstr>
      <vt:lpstr>Sud</vt:lpstr>
      <vt:lpstr>Nord</vt:lpstr>
      <vt:lpstr>Confronto</vt:lpstr>
      <vt:lpstr>Totale LTA anno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Lavaroni</dc:creator>
  <cp:lastModifiedBy>Massimo Lavaroni</cp:lastModifiedBy>
  <dcterms:created xsi:type="dcterms:W3CDTF">2020-05-19T09:17:19Z</dcterms:created>
  <dcterms:modified xsi:type="dcterms:W3CDTF">2020-08-13T07:15:53Z</dcterms:modified>
</cp:coreProperties>
</file>